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codeName="DieseArbeitsmappe" defaultThemeVersion="124226"/>
  <bookViews>
    <workbookView xWindow="120" yWindow="75" windowWidth="15180" windowHeight="9345" activeTab="1"/>
  </bookViews>
  <sheets>
    <sheet name="Instructions" sheetId="4" r:id="rId1"/>
    <sheet name="Gas Planner" sheetId="1" r:id="rId2"/>
    <sheet name="Tables" sheetId="2" r:id="rId3"/>
    <sheet name="Tabelle1" sheetId="5" r:id="rId4"/>
  </sheets>
  <definedNames>
    <definedName name="_xlnm._FilterDatabase" localSheetId="2" hidden="1">Tables!$D$1:$D$83</definedName>
  </definedNames>
  <calcPr calcId="144525"/>
</workbook>
</file>

<file path=xl/calcChain.xml><?xml version="1.0" encoding="utf-8"?>
<calcChain xmlns="http://schemas.openxmlformats.org/spreadsheetml/2006/main">
  <c r="E3" i="1" l="1"/>
  <c r="E5" i="1"/>
  <c r="H26" i="2"/>
  <c r="G21" i="1"/>
  <c r="G19" i="1"/>
  <c r="G17" i="1"/>
  <c r="G15" i="1"/>
  <c r="G13" i="1"/>
  <c r="E10" i="1"/>
  <c r="F10" i="1"/>
  <c r="B83" i="2"/>
  <c r="C83" i="2"/>
  <c r="B84" i="2"/>
  <c r="C84" i="2"/>
  <c r="B85" i="2"/>
  <c r="C85" i="2"/>
  <c r="B86" i="2"/>
  <c r="C86" i="2"/>
  <c r="B87" i="2"/>
  <c r="C87" i="2"/>
  <c r="B88" i="2"/>
  <c r="C88" i="2"/>
  <c r="B89" i="2"/>
  <c r="C89" i="2"/>
  <c r="B90" i="2"/>
  <c r="C90" i="2"/>
  <c r="B91" i="2"/>
  <c r="C91" i="2"/>
  <c r="B92" i="2"/>
  <c r="C92" i="2"/>
  <c r="B93" i="2"/>
  <c r="C93" i="2"/>
  <c r="B94" i="2"/>
  <c r="C94" i="2"/>
  <c r="B95" i="2"/>
  <c r="C95" i="2"/>
  <c r="B96" i="2"/>
  <c r="C96" i="2"/>
  <c r="B97" i="2"/>
  <c r="C97" i="2"/>
  <c r="B98" i="2"/>
  <c r="C98" i="2"/>
  <c r="B99" i="2"/>
  <c r="C99" i="2"/>
  <c r="B100" i="2"/>
  <c r="C100" i="2"/>
  <c r="E11" i="1"/>
  <c r="E12" i="1"/>
  <c r="E13" i="1"/>
  <c r="E14" i="1"/>
  <c r="G14" i="1" s="1"/>
  <c r="H14" i="1" s="1"/>
  <c r="E15" i="1"/>
  <c r="E16" i="1"/>
  <c r="G16" i="1" s="1"/>
  <c r="H16" i="1" s="1"/>
  <c r="E17" i="1"/>
  <c r="E18" i="1"/>
  <c r="G18" i="1" s="1"/>
  <c r="H18" i="1" s="1"/>
  <c r="E19" i="1"/>
  <c r="E20" i="1"/>
  <c r="G20" i="1" s="1"/>
  <c r="H20" i="1" s="1"/>
  <c r="E21" i="1"/>
  <c r="E22" i="1"/>
  <c r="G22" i="1" s="1"/>
  <c r="H22" i="1" s="1"/>
  <c r="E23" i="1"/>
  <c r="G23" i="1" s="1"/>
  <c r="H23" i="1" s="1"/>
  <c r="E24" i="1"/>
  <c r="G24" i="1" s="1"/>
  <c r="H24" i="1" s="1"/>
  <c r="E25" i="1"/>
  <c r="G25" i="1" s="1"/>
  <c r="H25" i="1" s="1"/>
  <c r="D18" i="1"/>
  <c r="D17" i="1"/>
  <c r="D16" i="1"/>
  <c r="D15" i="1"/>
  <c r="D14" i="1"/>
  <c r="D13" i="1"/>
  <c r="D11" i="1"/>
  <c r="D12" i="1"/>
  <c r="H3" i="1"/>
  <c r="H5" i="1"/>
  <c r="H7" i="1"/>
  <c r="E7" i="1"/>
  <c r="B7" i="1"/>
  <c r="B5" i="1"/>
  <c r="H13" i="1"/>
  <c r="K13" i="1" s="1"/>
  <c r="L13" i="1" s="1"/>
  <c r="H15" i="1"/>
  <c r="K15" i="1" s="1"/>
  <c r="L15" i="1" s="1"/>
  <c r="H17" i="1"/>
  <c r="K17" i="1" s="1"/>
  <c r="L17" i="1" s="1"/>
  <c r="H19" i="1"/>
  <c r="K19" i="1" s="1"/>
  <c r="L19" i="1" s="1"/>
  <c r="H21" i="1"/>
  <c r="K21" i="1" s="1"/>
  <c r="L21" i="1" s="1"/>
  <c r="D19" i="1"/>
  <c r="D20" i="1"/>
  <c r="D21" i="1"/>
  <c r="D22" i="1"/>
  <c r="D23" i="1"/>
  <c r="D24" i="1"/>
  <c r="D25" i="1"/>
  <c r="H22" i="2"/>
  <c r="H18" i="2"/>
  <c r="F25" i="1"/>
  <c r="C25" i="1"/>
  <c r="F24" i="1"/>
  <c r="C24" i="1"/>
  <c r="F23" i="1"/>
  <c r="C23" i="1"/>
  <c r="F22" i="1"/>
  <c r="C22" i="1"/>
  <c r="F14" i="1"/>
  <c r="F15" i="1"/>
  <c r="F13" i="1"/>
  <c r="F16" i="1"/>
  <c r="F17" i="1"/>
  <c r="F11" i="1"/>
  <c r="F12" i="1"/>
  <c r="B42" i="2"/>
  <c r="B62" i="2"/>
  <c r="B72" i="2"/>
  <c r="B77" i="2"/>
  <c r="B80" i="2"/>
  <c r="B81" i="2"/>
  <c r="B82" i="2"/>
  <c r="F18" i="1"/>
  <c r="F19" i="1"/>
  <c r="F20" i="1"/>
  <c r="F21" i="1"/>
  <c r="I7" i="1"/>
  <c r="I5" i="1"/>
  <c r="I3" i="1"/>
  <c r="F7" i="1"/>
  <c r="F5" i="1"/>
  <c r="F3" i="1"/>
  <c r="C7" i="1"/>
  <c r="C5" i="1"/>
  <c r="C10" i="1"/>
  <c r="C11" i="1"/>
  <c r="C12" i="1"/>
  <c r="C13" i="1"/>
  <c r="C14" i="1"/>
  <c r="C15" i="1"/>
  <c r="C16" i="1"/>
  <c r="C17" i="1"/>
  <c r="C18" i="1"/>
  <c r="C19" i="1"/>
  <c r="C20" i="1"/>
  <c r="C21" i="1"/>
  <c r="B4" i="2"/>
  <c r="C4" i="2"/>
  <c r="B5" i="2"/>
  <c r="C5" i="2"/>
  <c r="B6" i="2"/>
  <c r="C6" i="2"/>
  <c r="B7" i="2"/>
  <c r="C7" i="2"/>
  <c r="B8" i="2"/>
  <c r="C8" i="2"/>
  <c r="B9" i="2"/>
  <c r="C9" i="2"/>
  <c r="B10" i="2"/>
  <c r="C10" i="2"/>
  <c r="B11" i="2"/>
  <c r="C11" i="2"/>
  <c r="B12" i="2"/>
  <c r="C12" i="2"/>
  <c r="B13" i="2"/>
  <c r="C13" i="2"/>
  <c r="B14" i="2"/>
  <c r="C14" i="2"/>
  <c r="B15" i="2"/>
  <c r="C15" i="2"/>
  <c r="B16" i="2"/>
  <c r="C16" i="2"/>
  <c r="B17" i="2"/>
  <c r="C17" i="2"/>
  <c r="B18" i="2"/>
  <c r="C18" i="2"/>
  <c r="B19" i="2"/>
  <c r="C19" i="2"/>
  <c r="B20" i="2"/>
  <c r="C20" i="2"/>
  <c r="B21" i="2"/>
  <c r="C21" i="2"/>
  <c r="B22" i="2"/>
  <c r="C22" i="2"/>
  <c r="B23" i="2"/>
  <c r="C23" i="2"/>
  <c r="B24" i="2"/>
  <c r="C24" i="2"/>
  <c r="B25" i="2"/>
  <c r="C25" i="2"/>
  <c r="B26" i="2"/>
  <c r="C26" i="2"/>
  <c r="B27" i="2"/>
  <c r="C27" i="2"/>
  <c r="B28" i="2"/>
  <c r="C28" i="2"/>
  <c r="B29" i="2"/>
  <c r="C29" i="2"/>
  <c r="B30" i="2"/>
  <c r="C30" i="2"/>
  <c r="B31" i="2"/>
  <c r="C31" i="2"/>
  <c r="B32" i="2"/>
  <c r="C32" i="2"/>
  <c r="B33" i="2"/>
  <c r="C33" i="2"/>
  <c r="B34" i="2"/>
  <c r="C34" i="2"/>
  <c r="B35" i="2"/>
  <c r="C35" i="2"/>
  <c r="B36" i="2"/>
  <c r="C36" i="2"/>
  <c r="B37" i="2"/>
  <c r="C37" i="2"/>
  <c r="B38" i="2"/>
  <c r="C38" i="2"/>
  <c r="B39" i="2"/>
  <c r="C39" i="2"/>
  <c r="B40" i="2"/>
  <c r="C40" i="2"/>
  <c r="B41" i="2"/>
  <c r="C41" i="2"/>
  <c r="C42" i="2"/>
  <c r="B43" i="2"/>
  <c r="C43" i="2"/>
  <c r="B44" i="2"/>
  <c r="C44" i="2"/>
  <c r="B45" i="2"/>
  <c r="C45" i="2"/>
  <c r="B46" i="2"/>
  <c r="C46" i="2"/>
  <c r="B47" i="2"/>
  <c r="C47" i="2"/>
  <c r="B48" i="2"/>
  <c r="C48" i="2"/>
  <c r="B49" i="2"/>
  <c r="C49" i="2"/>
  <c r="B50" i="2"/>
  <c r="C50" i="2"/>
  <c r="B51" i="2"/>
  <c r="C51" i="2"/>
  <c r="B52" i="2"/>
  <c r="C52" i="2"/>
  <c r="B53" i="2"/>
  <c r="C53" i="2"/>
  <c r="B54" i="2"/>
  <c r="C54" i="2"/>
  <c r="B55" i="2"/>
  <c r="C55" i="2"/>
  <c r="B56" i="2"/>
  <c r="C56" i="2"/>
  <c r="B57" i="2"/>
  <c r="C57" i="2"/>
  <c r="B58" i="2"/>
  <c r="C58" i="2"/>
  <c r="B59" i="2"/>
  <c r="C59" i="2"/>
  <c r="B60" i="2"/>
  <c r="C60" i="2"/>
  <c r="B61" i="2"/>
  <c r="C61" i="2"/>
  <c r="C62" i="2"/>
  <c r="B63" i="2"/>
  <c r="C63" i="2"/>
  <c r="B64" i="2"/>
  <c r="C64" i="2"/>
  <c r="B65" i="2"/>
  <c r="C65" i="2"/>
  <c r="B66" i="2"/>
  <c r="C66" i="2"/>
  <c r="B67" i="2"/>
  <c r="C67" i="2"/>
  <c r="B68" i="2"/>
  <c r="C68" i="2"/>
  <c r="B69" i="2"/>
  <c r="C69" i="2"/>
  <c r="B70" i="2"/>
  <c r="C70" i="2"/>
  <c r="B71" i="2"/>
  <c r="C71" i="2"/>
  <c r="C72" i="2"/>
  <c r="B73" i="2"/>
  <c r="C73" i="2"/>
  <c r="B74" i="2"/>
  <c r="C74" i="2"/>
  <c r="B75" i="2"/>
  <c r="C75" i="2"/>
  <c r="B76" i="2"/>
  <c r="C76" i="2"/>
  <c r="C77" i="2"/>
  <c r="B78" i="2"/>
  <c r="C78" i="2"/>
  <c r="B79" i="2"/>
  <c r="C79" i="2"/>
  <c r="C80" i="2"/>
  <c r="C81" i="2"/>
  <c r="C82" i="2"/>
  <c r="C3" i="2"/>
  <c r="B3" i="2"/>
  <c r="D7" i="2"/>
  <c r="D8" i="2"/>
  <c r="D9" i="2"/>
  <c r="D10" i="2"/>
  <c r="D11" i="2"/>
  <c r="D3" i="2"/>
  <c r="D4" i="2"/>
  <c r="D5" i="2"/>
  <c r="D6" i="2"/>
  <c r="G12" i="1"/>
  <c r="H12" i="1" s="1"/>
  <c r="G11" i="1"/>
  <c r="G10" i="1"/>
  <c r="B3" i="1"/>
  <c r="C3" i="1"/>
  <c r="L7" i="1"/>
  <c r="H11" i="1"/>
  <c r="K11" i="1" s="1"/>
  <c r="L11" i="1" s="1"/>
  <c r="H10" i="1"/>
  <c r="K10" i="1" s="1"/>
  <c r="L10" i="1" s="1"/>
  <c r="I12" i="1" l="1"/>
  <c r="J12" i="1" s="1"/>
  <c r="K12" i="1"/>
  <c r="L12" i="1" s="1"/>
  <c r="I24" i="1"/>
  <c r="J24" i="1" s="1"/>
  <c r="K24" i="1"/>
  <c r="L24" i="1" s="1"/>
  <c r="I22" i="1"/>
  <c r="J22" i="1" s="1"/>
  <c r="K22" i="1"/>
  <c r="L22" i="1" s="1"/>
  <c r="I20" i="1"/>
  <c r="J20" i="1" s="1"/>
  <c r="K20" i="1"/>
  <c r="L20" i="1" s="1"/>
  <c r="I18" i="1"/>
  <c r="J18" i="1" s="1"/>
  <c r="K18" i="1"/>
  <c r="L18" i="1" s="1"/>
  <c r="I16" i="1"/>
  <c r="J16" i="1" s="1"/>
  <c r="K16" i="1"/>
  <c r="L16" i="1" s="1"/>
  <c r="I14" i="1"/>
  <c r="J14" i="1" s="1"/>
  <c r="K14" i="1"/>
  <c r="L14" i="1" s="1"/>
  <c r="J5" i="1"/>
  <c r="L5" i="1" s="1"/>
  <c r="K25" i="1"/>
  <c r="L25" i="1" s="1"/>
  <c r="I25" i="1"/>
  <c r="J25" i="1" s="1"/>
  <c r="K23" i="1"/>
  <c r="L23" i="1" s="1"/>
  <c r="I23" i="1"/>
  <c r="J23" i="1" s="1"/>
  <c r="I10" i="1"/>
  <c r="J10" i="1" s="1"/>
  <c r="I11" i="1"/>
  <c r="J11" i="1" s="1"/>
  <c r="I21" i="1"/>
  <c r="J21" i="1" s="1"/>
  <c r="I19" i="1"/>
  <c r="J19" i="1" s="1"/>
  <c r="I17" i="1"/>
  <c r="J17" i="1" s="1"/>
  <c r="I15" i="1"/>
  <c r="J15" i="1" s="1"/>
  <c r="I13" i="1"/>
  <c r="J13" i="1" s="1"/>
  <c r="J3" i="1" l="1"/>
  <c r="L3" i="1" s="1"/>
</calcChain>
</file>

<file path=xl/sharedStrings.xml><?xml version="1.0" encoding="utf-8"?>
<sst xmlns="http://schemas.openxmlformats.org/spreadsheetml/2006/main" count="87" uniqueCount="52">
  <si>
    <t>Gas</t>
  </si>
  <si>
    <t>OTU</t>
  </si>
  <si>
    <t>CNS%</t>
  </si>
  <si>
    <t>OTUs total</t>
  </si>
  <si>
    <r>
      <t>PO</t>
    </r>
    <r>
      <rPr>
        <vertAlign val="subscript"/>
        <sz val="10"/>
        <rFont val="Arial"/>
        <family val="2"/>
      </rPr>
      <t>2</t>
    </r>
    <r>
      <rPr>
        <sz val="10"/>
        <rFont val="Arial"/>
      </rPr>
      <t xml:space="preserve"> </t>
    </r>
  </si>
  <si>
    <t>Conv. Fac.</t>
  </si>
  <si>
    <t>Max Depth
1,4 bar</t>
  </si>
  <si>
    <t>Max Depth
1,6 bar</t>
  </si>
  <si>
    <t>CNS% / 
min</t>
  </si>
  <si>
    <t>Best Mix</t>
  </si>
  <si>
    <t>Depth (m)</t>
  </si>
  <si>
    <t>Time (min)</t>
  </si>
  <si>
    <t>SAC (l/min)</t>
  </si>
  <si>
    <t>Runtime (min)</t>
  </si>
  <si>
    <t>Volume (l)</t>
  </si>
  <si>
    <t>Fill in depth an time.</t>
  </si>
  <si>
    <t>Adjust SAC rates to the planned activities at that depth.</t>
  </si>
  <si>
    <t>All other figures should appear magically.</t>
  </si>
  <si>
    <t>Cheers, Christoph</t>
  </si>
  <si>
    <t>CNS clock (DSAT)</t>
  </si>
  <si>
    <t>CNS% surface calculator</t>
  </si>
  <si>
    <t>CNS% calculator</t>
  </si>
  <si>
    <t>Intervall (min)</t>
  </si>
  <si>
    <r>
      <t>PO</t>
    </r>
    <r>
      <rPr>
        <vertAlign val="subscript"/>
        <sz val="10"/>
        <rFont val="Arial"/>
        <family val="2"/>
      </rPr>
      <t>2</t>
    </r>
  </si>
  <si>
    <t>Time</t>
  </si>
  <si>
    <t>SAC Rate Conversion Factor</t>
  </si>
  <si>
    <t>Factor</t>
  </si>
  <si>
    <t>Start Pressure</t>
  </si>
  <si>
    <t>Turn Pressure</t>
  </si>
  <si>
    <t>Rest OTUs</t>
  </si>
  <si>
    <t>Rest CNS%</t>
  </si>
  <si>
    <t>TEC Deep Manual</t>
  </si>
  <si>
    <t>The tables in the book should match with the calculated OTUs and CNS% but check anyway to be sure.</t>
  </si>
  <si>
    <r>
      <t>electronic</t>
    </r>
    <r>
      <rPr>
        <b/>
        <sz val="10"/>
        <color indexed="9"/>
        <rFont val="Arial"/>
        <family val="2"/>
      </rPr>
      <t xml:space="preserve"> DSAT TecRec DIVE PLANNING SLATE by CML http://www.sharkforce.at</t>
    </r>
  </si>
  <si>
    <t>Depth &gt; (m)</t>
  </si>
  <si>
    <t xml:space="preserve">The conversion factor follows the tables in the Tec Deep book and rounds in that stupid steps. For depths &gt; 55m, </t>
  </si>
  <si>
    <t>First fill in the oxygen percentage of the available gases (e.g. 21 for Air, 35 for EAN35 or TM35/40 and 100 for oxygen).</t>
  </si>
  <si>
    <t>Order gases so that oxygen percentages  increase, first gas (cell A3) is the back-gas.</t>
  </si>
  <si>
    <t>The table automatically selects the best mix for the given gases. If you don´t specify gases, the best mix is calculated.</t>
  </si>
  <si>
    <t>the sac-factor is calculated in 5m steps und rounded up accordingly. Feel free to use the Sac Rate Factor Calculator for</t>
  </si>
  <si>
    <t>exact results.</t>
  </si>
  <si>
    <t>SAC Rate Factor calculator</t>
  </si>
  <si>
    <t>How to use this planner.</t>
  </si>
  <si>
    <t>You could fill the table just as the paper version or even print it, but there is more.</t>
  </si>
  <si>
    <t>w/ Reserve</t>
  </si>
  <si>
    <t>Tank Size (l)</t>
  </si>
  <si>
    <t>PO2  (ata)</t>
  </si>
  <si>
    <t>OTU / min</t>
  </si>
  <si>
    <t>CNS% / min</t>
  </si>
  <si>
    <r>
      <t>Gas (% O</t>
    </r>
    <r>
      <rPr>
        <vertAlign val="subscript"/>
        <sz val="8"/>
        <rFont val="Arial"/>
        <family val="2"/>
      </rPr>
      <t>2</t>
    </r>
    <r>
      <rPr>
        <sz val="8"/>
        <rFont val="Arial"/>
        <family val="2"/>
      </rPr>
      <t>)</t>
    </r>
  </si>
  <si>
    <t>You can override any number in the table by just filling in whatever you like, open the sheet "read/write" for that.</t>
  </si>
  <si>
    <t>Don´t blame me if you fail your exams, good luck!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</si>
</sst>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2" formatCode="00"/>
    <numFmt numFmtId="173" formatCode="0.0"/>
  </numFmts>
  <fonts count="13" x14ac:knownFonts="1">
    <font>
      <sz val="10"/>
      <name val="Arial"/>
    </font>
    <font>
      <sz val="10"/>
      <name val="Arial"/>
    </font>
    <font>
      <sz val="8"/>
      <name val="Arial"/>
    </font>
    <font>
      <vertAlign val="subscript"/>
      <sz val="10"/>
      <name val="Arial"/>
      <family val="2"/>
    </font>
    <font>
      <b/>
      <sz val="10"/>
      <name val="Arial"/>
    </font>
    <font>
      <sz val="10"/>
      <color indexed="9"/>
      <name val="Arial"/>
    </font>
    <font>
      <b/>
      <sz val="10"/>
      <color indexed="9"/>
      <name val="Arial"/>
      <family val="2"/>
    </font>
    <font>
      <b/>
      <i/>
      <sz val="10"/>
      <color indexed="9"/>
      <name val="Arial"/>
      <family val="2"/>
    </font>
    <font>
      <b/>
      <sz val="10"/>
      <color indexed="9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vertAlign val="subscript"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8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9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22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22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22"/>
      </top>
      <bottom style="medium">
        <color indexed="64"/>
      </bottom>
      <diagonal/>
    </border>
    <border>
      <left/>
      <right style="thin">
        <color indexed="64"/>
      </right>
      <top style="thin">
        <color indexed="22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9"/>
      </right>
      <top style="medium">
        <color indexed="64"/>
      </top>
      <bottom style="medium">
        <color indexed="64"/>
      </bottom>
      <diagonal/>
    </border>
    <border>
      <left style="thin">
        <color indexed="9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22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22"/>
      </top>
      <bottom style="thin">
        <color indexed="64"/>
      </bottom>
      <diagonal/>
    </border>
  </borders>
  <cellStyleXfs count="1">
    <xf numFmtId="0" fontId="0" fillId="0" borderId="0"/>
  </cellStyleXfs>
  <cellXfs count="138">
    <xf numFmtId="0" fontId="0" fillId="0" borderId="0" xfId="0"/>
    <xf numFmtId="0" fontId="0" fillId="0" borderId="1" xfId="0" applyBorder="1"/>
    <xf numFmtId="0" fontId="0" fillId="0" borderId="2" xfId="0" applyBorder="1"/>
    <xf numFmtId="1" fontId="0" fillId="2" borderId="3" xfId="0" applyNumberFormat="1" applyFill="1" applyBorder="1"/>
    <xf numFmtId="1" fontId="0" fillId="0" borderId="3" xfId="0" applyNumberFormat="1" applyFill="1" applyBorder="1"/>
    <xf numFmtId="1" fontId="0" fillId="2" borderId="4" xfId="0" applyNumberFormat="1" applyFill="1" applyBorder="1"/>
    <xf numFmtId="2" fontId="0" fillId="2" borderId="3" xfId="0" applyNumberFormat="1" applyFill="1" applyBorder="1"/>
    <xf numFmtId="2" fontId="0" fillId="0" borderId="3" xfId="0" applyNumberFormat="1" applyFill="1" applyBorder="1"/>
    <xf numFmtId="2" fontId="0" fillId="2" borderId="4" xfId="0" applyNumberFormat="1" applyFill="1" applyBorder="1"/>
    <xf numFmtId="172" fontId="0" fillId="2" borderId="3" xfId="0" applyNumberFormat="1" applyFill="1" applyBorder="1"/>
    <xf numFmtId="172" fontId="0" fillId="0" borderId="3" xfId="0" applyNumberFormat="1" applyFill="1" applyBorder="1"/>
    <xf numFmtId="172" fontId="0" fillId="2" borderId="4" xfId="0" applyNumberFormat="1" applyFill="1" applyBorder="1"/>
    <xf numFmtId="2" fontId="0" fillId="0" borderId="3" xfId="0" applyNumberFormat="1" applyBorder="1"/>
    <xf numFmtId="2" fontId="0" fillId="0" borderId="5" xfId="0" applyNumberFormat="1" applyBorder="1"/>
    <xf numFmtId="2" fontId="0" fillId="0" borderId="4" xfId="0" applyNumberFormat="1" applyBorder="1"/>
    <xf numFmtId="2" fontId="0" fillId="0" borderId="6" xfId="0" applyNumberFormat="1" applyBorder="1"/>
    <xf numFmtId="2" fontId="1" fillId="0" borderId="1" xfId="0" applyNumberFormat="1" applyFont="1" applyBorder="1"/>
    <xf numFmtId="2" fontId="0" fillId="2" borderId="5" xfId="0" applyNumberFormat="1" applyFill="1" applyBorder="1"/>
    <xf numFmtId="2" fontId="0" fillId="0" borderId="5" xfId="0" applyNumberFormat="1" applyFill="1" applyBorder="1"/>
    <xf numFmtId="2" fontId="0" fillId="2" borderId="6" xfId="0" applyNumberFormat="1" applyFill="1" applyBorder="1"/>
    <xf numFmtId="0" fontId="0" fillId="0" borderId="7" xfId="0" applyBorder="1"/>
    <xf numFmtId="0" fontId="0" fillId="0" borderId="7" xfId="0" applyBorder="1" applyAlignment="1">
      <alignment wrapText="1"/>
    </xf>
    <xf numFmtId="0" fontId="0" fillId="0" borderId="7" xfId="0" applyFill="1" applyBorder="1"/>
    <xf numFmtId="0" fontId="0" fillId="0" borderId="8" xfId="0" applyBorder="1"/>
    <xf numFmtId="0" fontId="0" fillId="0" borderId="9" xfId="0" applyBorder="1"/>
    <xf numFmtId="0" fontId="0" fillId="0" borderId="3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10" xfId="0" applyBorder="1"/>
    <xf numFmtId="2" fontId="0" fillId="0" borderId="8" xfId="0" applyNumberFormat="1" applyBorder="1"/>
    <xf numFmtId="0" fontId="0" fillId="0" borderId="7" xfId="0" applyBorder="1" applyAlignment="1">
      <alignment vertical="center" wrapText="1"/>
    </xf>
    <xf numFmtId="0" fontId="0" fillId="0" borderId="6" xfId="0" applyBorder="1" applyAlignment="1">
      <alignment wrapText="1"/>
    </xf>
    <xf numFmtId="2" fontId="1" fillId="0" borderId="11" xfId="0" applyNumberFormat="1" applyFont="1" applyBorder="1"/>
    <xf numFmtId="2" fontId="0" fillId="0" borderId="12" xfId="0" applyNumberFormat="1" applyBorder="1"/>
    <xf numFmtId="0" fontId="1" fillId="0" borderId="2" xfId="0" applyFont="1" applyBorder="1"/>
    <xf numFmtId="2" fontId="1" fillId="0" borderId="6" xfId="0" applyNumberFormat="1" applyFont="1" applyFill="1" applyBorder="1"/>
    <xf numFmtId="0" fontId="0" fillId="0" borderId="13" xfId="0" applyBorder="1"/>
    <xf numFmtId="0" fontId="2" fillId="3" borderId="14" xfId="0" applyFont="1" applyFill="1" applyBorder="1" applyAlignment="1">
      <alignment horizontal="right" vertical="top"/>
    </xf>
    <xf numFmtId="2" fontId="2" fillId="3" borderId="15" xfId="0" applyNumberFormat="1" applyFont="1" applyFill="1" applyBorder="1" applyAlignment="1">
      <alignment horizontal="right" vertical="top"/>
    </xf>
    <xf numFmtId="2" fontId="2" fillId="3" borderId="16" xfId="0" applyNumberFormat="1" applyFont="1" applyFill="1" applyBorder="1" applyAlignment="1">
      <alignment horizontal="right" vertical="top"/>
    </xf>
    <xf numFmtId="0" fontId="2" fillId="3" borderId="17" xfId="0" applyFont="1" applyFill="1" applyBorder="1" applyAlignment="1">
      <alignment horizontal="right" vertical="top"/>
    </xf>
    <xf numFmtId="0" fontId="2" fillId="3" borderId="17" xfId="0" applyFont="1" applyFill="1" applyBorder="1" applyAlignment="1">
      <alignment horizontal="left" vertical="top"/>
    </xf>
    <xf numFmtId="0" fontId="2" fillId="3" borderId="16" xfId="0" applyFont="1" applyFill="1" applyBorder="1" applyAlignment="1">
      <alignment horizontal="left" vertical="top"/>
    </xf>
    <xf numFmtId="0" fontId="2" fillId="3" borderId="18" xfId="0" applyFont="1" applyFill="1" applyBorder="1" applyAlignment="1">
      <alignment horizontal="left" vertical="top"/>
    </xf>
    <xf numFmtId="0" fontId="0" fillId="0" borderId="8" xfId="0" applyBorder="1" applyAlignment="1">
      <alignment vertical="center" wrapText="1"/>
    </xf>
    <xf numFmtId="0" fontId="2" fillId="0" borderId="19" xfId="0" applyFont="1" applyBorder="1" applyAlignment="1">
      <alignment horizontal="left" vertical="top"/>
    </xf>
    <xf numFmtId="0" fontId="2" fillId="0" borderId="20" xfId="0" applyFont="1" applyBorder="1" applyAlignment="1">
      <alignment horizontal="left" vertical="top"/>
    </xf>
    <xf numFmtId="0" fontId="2" fillId="0" borderId="21" xfId="0" applyFont="1" applyBorder="1" applyAlignment="1">
      <alignment horizontal="left" vertical="top"/>
    </xf>
    <xf numFmtId="0" fontId="2" fillId="0" borderId="22" xfId="0" applyFont="1" applyBorder="1" applyAlignment="1">
      <alignment horizontal="left" vertical="top"/>
    </xf>
    <xf numFmtId="1" fontId="0" fillId="0" borderId="23" xfId="0" applyNumberFormat="1" applyFill="1" applyBorder="1"/>
    <xf numFmtId="172" fontId="0" fillId="0" borderId="23" xfId="0" applyNumberFormat="1" applyFill="1" applyBorder="1"/>
    <xf numFmtId="2" fontId="0" fillId="0" borderId="23" xfId="0" applyNumberFormat="1" applyFill="1" applyBorder="1"/>
    <xf numFmtId="2" fontId="0" fillId="0" borderId="12" xfId="0" applyNumberFormat="1" applyFill="1" applyBorder="1"/>
    <xf numFmtId="2" fontId="5" fillId="0" borderId="10" xfId="0" applyNumberFormat="1" applyFont="1" applyBorder="1"/>
    <xf numFmtId="0" fontId="7" fillId="3" borderId="24" xfId="0" applyFont="1" applyFill="1" applyBorder="1" applyAlignment="1">
      <alignment horizontal="center"/>
    </xf>
    <xf numFmtId="0" fontId="0" fillId="0" borderId="25" xfId="0" applyBorder="1"/>
    <xf numFmtId="0" fontId="0" fillId="0" borderId="26" xfId="0" applyBorder="1"/>
    <xf numFmtId="0" fontId="0" fillId="0" borderId="15" xfId="0" applyBorder="1"/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0" fillId="0" borderId="9" xfId="0" applyBorder="1" applyAlignment="1">
      <alignment wrapText="1"/>
    </xf>
    <xf numFmtId="2" fontId="0" fillId="0" borderId="30" xfId="0" applyNumberFormat="1" applyBorder="1"/>
    <xf numFmtId="0" fontId="6" fillId="0" borderId="8" xfId="0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2" fontId="2" fillId="0" borderId="31" xfId="0" applyNumberFormat="1" applyFont="1" applyBorder="1" applyAlignment="1">
      <alignment horizontal="left" vertical="top"/>
    </xf>
    <xf numFmtId="0" fontId="0" fillId="0" borderId="32" xfId="0" applyBorder="1"/>
    <xf numFmtId="173" fontId="0" fillId="0" borderId="3" xfId="0" applyNumberFormat="1" applyFill="1" applyBorder="1"/>
    <xf numFmtId="173" fontId="0" fillId="2" borderId="3" xfId="0" applyNumberFormat="1" applyFill="1" applyBorder="1"/>
    <xf numFmtId="173" fontId="0" fillId="2" borderId="4" xfId="0" applyNumberFormat="1" applyFill="1" applyBorder="1"/>
    <xf numFmtId="0" fontId="0" fillId="0" borderId="7" xfId="0" applyBorder="1" applyAlignment="1">
      <alignment horizontal="center"/>
    </xf>
    <xf numFmtId="0" fontId="11" fillId="0" borderId="7" xfId="0" applyFont="1" applyBorder="1" applyAlignment="1">
      <alignment horizontal="center"/>
    </xf>
    <xf numFmtId="2" fontId="10" fillId="0" borderId="19" xfId="0" applyNumberFormat="1" applyFont="1" applyBorder="1" applyAlignment="1">
      <alignment horizontal="left" vertical="top"/>
    </xf>
    <xf numFmtId="0" fontId="2" fillId="2" borderId="14" xfId="0" applyFont="1" applyFill="1" applyBorder="1" applyAlignment="1">
      <alignment vertical="center" wrapText="1"/>
    </xf>
    <xf numFmtId="0" fontId="2" fillId="2" borderId="15" xfId="0" applyFont="1" applyFill="1" applyBorder="1" applyAlignment="1">
      <alignment vertical="center" wrapText="1"/>
    </xf>
    <xf numFmtId="0" fontId="2" fillId="2" borderId="28" xfId="0" applyFont="1" applyFill="1" applyBorder="1" applyAlignment="1">
      <alignment vertical="center" wrapText="1"/>
    </xf>
    <xf numFmtId="0" fontId="2" fillId="2" borderId="29" xfId="0" applyFont="1" applyFill="1" applyBorder="1" applyAlignment="1">
      <alignment vertical="center" wrapText="1"/>
    </xf>
    <xf numFmtId="0" fontId="2" fillId="0" borderId="39" xfId="0" applyFont="1" applyBorder="1" applyAlignment="1">
      <alignment horizontal="left" vertical="top"/>
    </xf>
    <xf numFmtId="2" fontId="2" fillId="0" borderId="40" xfId="0" applyNumberFormat="1" applyFont="1" applyBorder="1" applyAlignment="1">
      <alignment horizontal="right" vertical="top"/>
    </xf>
    <xf numFmtId="2" fontId="2" fillId="0" borderId="41" xfId="0" applyNumberFormat="1" applyFont="1" applyBorder="1" applyAlignment="1">
      <alignment horizontal="right" vertical="top"/>
    </xf>
    <xf numFmtId="0" fontId="2" fillId="0" borderId="42" xfId="0" applyFont="1" applyBorder="1" applyAlignment="1">
      <alignment horizontal="left" vertical="top"/>
    </xf>
    <xf numFmtId="0" fontId="2" fillId="0" borderId="43" xfId="0" applyFont="1" applyBorder="1" applyAlignment="1">
      <alignment horizontal="left" vertical="top"/>
    </xf>
    <xf numFmtId="2" fontId="4" fillId="0" borderId="41" xfId="0" applyNumberFormat="1" applyFont="1" applyBorder="1" applyAlignment="1">
      <alignment horizontal="left" vertical="center"/>
    </xf>
    <xf numFmtId="0" fontId="0" fillId="0" borderId="2" xfId="0" applyBorder="1" applyProtection="1"/>
    <xf numFmtId="0" fontId="0" fillId="0" borderId="6" xfId="0" applyBorder="1" applyAlignment="1" applyProtection="1">
      <alignment wrapText="1"/>
    </xf>
    <xf numFmtId="173" fontId="1" fillId="0" borderId="44" xfId="0" applyNumberFormat="1" applyFont="1" applyBorder="1" applyProtection="1"/>
    <xf numFmtId="2" fontId="1" fillId="0" borderId="12" xfId="0" applyNumberFormat="1" applyFont="1" applyBorder="1" applyProtection="1"/>
    <xf numFmtId="173" fontId="1" fillId="0" borderId="1" xfId="0" applyNumberFormat="1" applyFont="1" applyBorder="1" applyProtection="1"/>
    <xf numFmtId="2" fontId="0" fillId="0" borderId="5" xfId="0" applyNumberFormat="1" applyBorder="1" applyProtection="1"/>
    <xf numFmtId="2" fontId="1" fillId="0" borderId="19" xfId="0" applyNumberFormat="1" applyFont="1" applyFill="1" applyBorder="1" applyProtection="1"/>
    <xf numFmtId="2" fontId="0" fillId="0" borderId="45" xfId="0" applyNumberFormat="1" applyBorder="1" applyProtection="1"/>
    <xf numFmtId="173" fontId="1" fillId="2" borderId="1" xfId="0" applyNumberFormat="1" applyFont="1" applyFill="1" applyBorder="1" applyProtection="1"/>
    <xf numFmtId="2" fontId="0" fillId="2" borderId="5" xfId="0" applyNumberFormat="1" applyFill="1" applyBorder="1" applyProtection="1"/>
    <xf numFmtId="0" fontId="0" fillId="0" borderId="9" xfId="0" applyBorder="1" applyProtection="1"/>
    <xf numFmtId="0" fontId="0" fillId="0" borderId="7" xfId="0" applyBorder="1" applyProtection="1"/>
    <xf numFmtId="2" fontId="0" fillId="0" borderId="14" xfId="0" applyNumberFormat="1" applyBorder="1" applyProtection="1">
      <protection locked="0"/>
    </xf>
    <xf numFmtId="0" fontId="0" fillId="0" borderId="15" xfId="0" applyBorder="1" applyProtection="1">
      <protection locked="0"/>
    </xf>
    <xf numFmtId="172" fontId="2" fillId="0" borderId="48" xfId="0" applyNumberFormat="1" applyFont="1" applyBorder="1" applyAlignment="1" applyProtection="1">
      <alignment horizontal="right" vertical="top"/>
      <protection locked="0"/>
    </xf>
    <xf numFmtId="0" fontId="2" fillId="0" borderId="48" xfId="0" applyFont="1" applyBorder="1" applyAlignment="1" applyProtection="1">
      <alignment horizontal="right" vertical="top"/>
      <protection locked="0"/>
    </xf>
    <xf numFmtId="0" fontId="2" fillId="0" borderId="42" xfId="0" applyFont="1" applyBorder="1" applyAlignment="1" applyProtection="1">
      <alignment horizontal="right" vertical="top"/>
      <protection locked="0"/>
    </xf>
    <xf numFmtId="0" fontId="2" fillId="0" borderId="33" xfId="0" applyFont="1" applyBorder="1" applyAlignment="1" applyProtection="1">
      <alignment horizontal="left" vertical="top"/>
      <protection locked="0"/>
    </xf>
    <xf numFmtId="0" fontId="2" fillId="0" borderId="34" xfId="0" applyFont="1" applyBorder="1" applyAlignment="1" applyProtection="1">
      <alignment horizontal="left" vertical="top"/>
      <protection locked="0"/>
    </xf>
    <xf numFmtId="0" fontId="2" fillId="0" borderId="35" xfId="0" applyFont="1" applyBorder="1" applyAlignment="1" applyProtection="1">
      <alignment horizontal="left" vertical="top"/>
      <protection locked="0"/>
    </xf>
    <xf numFmtId="2" fontId="9" fillId="0" borderId="51" xfId="0" applyNumberFormat="1" applyFont="1" applyBorder="1" applyAlignment="1" applyProtection="1">
      <alignment horizontal="left" vertical="center"/>
      <protection locked="0"/>
    </xf>
    <xf numFmtId="0" fontId="2" fillId="0" borderId="21" xfId="0" applyFont="1" applyBorder="1" applyAlignment="1" applyProtection="1">
      <alignment horizontal="left" vertical="top"/>
      <protection locked="0"/>
    </xf>
    <xf numFmtId="0" fontId="2" fillId="0" borderId="20" xfId="0" applyFont="1" applyBorder="1" applyAlignment="1" applyProtection="1">
      <alignment horizontal="left" vertical="top"/>
      <protection locked="0"/>
    </xf>
    <xf numFmtId="0" fontId="2" fillId="0" borderId="19" xfId="0" applyFont="1" applyBorder="1" applyAlignment="1" applyProtection="1">
      <alignment horizontal="left" vertical="top"/>
      <protection locked="0"/>
    </xf>
    <xf numFmtId="0" fontId="2" fillId="0" borderId="31" xfId="0" applyFont="1" applyBorder="1" applyAlignment="1" applyProtection="1">
      <alignment horizontal="left" vertical="top"/>
      <protection locked="0"/>
    </xf>
    <xf numFmtId="2" fontId="2" fillId="0" borderId="52" xfId="0" applyNumberFormat="1" applyFont="1" applyBorder="1" applyAlignment="1" applyProtection="1">
      <alignment horizontal="right" vertical="top"/>
    </xf>
    <xf numFmtId="2" fontId="2" fillId="0" borderId="53" xfId="0" applyNumberFormat="1" applyFont="1" applyBorder="1" applyAlignment="1" applyProtection="1">
      <alignment horizontal="right" vertical="top"/>
    </xf>
    <xf numFmtId="2" fontId="4" fillId="0" borderId="48" xfId="0" applyNumberFormat="1" applyFont="1" applyBorder="1" applyAlignment="1" applyProtection="1">
      <alignment horizontal="left" vertical="center"/>
    </xf>
    <xf numFmtId="2" fontId="4" fillId="0" borderId="53" xfId="0" applyNumberFormat="1" applyFont="1" applyBorder="1" applyAlignment="1" applyProtection="1">
      <alignment horizontal="left" vertical="center"/>
    </xf>
    <xf numFmtId="0" fontId="0" fillId="0" borderId="11" xfId="0" applyFill="1" applyBorder="1" applyProtection="1">
      <protection locked="0"/>
    </xf>
    <xf numFmtId="1" fontId="0" fillId="0" borderId="23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1" fontId="0" fillId="2" borderId="3" xfId="0" applyNumberFormat="1" applyFill="1" applyBorder="1" applyProtection="1">
      <protection locked="0"/>
    </xf>
    <xf numFmtId="0" fontId="0" fillId="0" borderId="1" xfId="0" applyFill="1" applyBorder="1" applyProtection="1">
      <protection locked="0"/>
    </xf>
    <xf numFmtId="1" fontId="0" fillId="0" borderId="3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72" fontId="0" fillId="0" borderId="3" xfId="0" applyNumberFormat="1" applyFill="1" applyBorder="1" applyProtection="1">
      <protection locked="0"/>
    </xf>
    <xf numFmtId="172" fontId="0" fillId="2" borderId="3" xfId="0" applyNumberFormat="1" applyFill="1" applyBorder="1" applyProtection="1">
      <protection locked="0"/>
    </xf>
    <xf numFmtId="172" fontId="0" fillId="2" borderId="4" xfId="0" applyNumberFormat="1" applyFill="1" applyBorder="1" applyProtection="1">
      <protection locked="0"/>
    </xf>
    <xf numFmtId="0" fontId="7" fillId="3" borderId="24" xfId="0" applyFont="1" applyFill="1" applyBorder="1" applyAlignment="1" applyProtection="1">
      <alignment horizontal="center"/>
      <protection locked="0"/>
    </xf>
    <xf numFmtId="0" fontId="6" fillId="3" borderId="49" xfId="0" applyFont="1" applyFill="1" applyBorder="1" applyAlignment="1" applyProtection="1">
      <alignment horizontal="center"/>
      <protection locked="0"/>
    </xf>
    <xf numFmtId="0" fontId="6" fillId="3" borderId="50" xfId="0" applyFont="1" applyFill="1" applyBorder="1" applyAlignment="1" applyProtection="1">
      <alignment horizontal="center"/>
      <protection locked="0"/>
    </xf>
    <xf numFmtId="0" fontId="8" fillId="3" borderId="46" xfId="0" applyFont="1" applyFill="1" applyBorder="1" applyAlignment="1" applyProtection="1">
      <alignment horizontal="center" vertical="center"/>
    </xf>
    <xf numFmtId="0" fontId="8" fillId="3" borderId="47" xfId="0" applyFont="1" applyFill="1" applyBorder="1" applyAlignment="1" applyProtection="1">
      <alignment horizontal="center" vertical="center"/>
    </xf>
    <xf numFmtId="0" fontId="6" fillId="3" borderId="11" xfId="0" applyFont="1" applyFill="1" applyBorder="1" applyAlignment="1" applyProtection="1">
      <alignment horizontal="center"/>
    </xf>
    <xf numFmtId="0" fontId="6" fillId="3" borderId="12" xfId="0" applyFont="1" applyFill="1" applyBorder="1" applyAlignment="1" applyProtection="1">
      <alignment horizontal="center"/>
    </xf>
    <xf numFmtId="0" fontId="6" fillId="3" borderId="33" xfId="0" applyFont="1" applyFill="1" applyBorder="1" applyAlignment="1">
      <alignment horizontal="center"/>
    </xf>
    <xf numFmtId="0" fontId="6" fillId="3" borderId="34" xfId="0" applyFont="1" applyFill="1" applyBorder="1" applyAlignment="1">
      <alignment horizontal="center"/>
    </xf>
    <xf numFmtId="0" fontId="6" fillId="3" borderId="35" xfId="0" applyFont="1" applyFill="1" applyBorder="1" applyAlignment="1">
      <alignment horizontal="center"/>
    </xf>
    <xf numFmtId="0" fontId="6" fillId="3" borderId="11" xfId="0" applyFont="1" applyFill="1" applyBorder="1" applyAlignment="1">
      <alignment horizontal="center"/>
    </xf>
    <xf numFmtId="0" fontId="6" fillId="3" borderId="23" xfId="0" applyFont="1" applyFill="1" applyBorder="1" applyAlignment="1">
      <alignment horizontal="center"/>
    </xf>
    <xf numFmtId="0" fontId="6" fillId="3" borderId="12" xfId="0" applyFont="1" applyFill="1" applyBorder="1" applyAlignment="1">
      <alignment horizontal="center"/>
    </xf>
    <xf numFmtId="0" fontId="6" fillId="3" borderId="36" xfId="0" applyFont="1" applyFill="1" applyBorder="1" applyAlignment="1">
      <alignment horizontal="center"/>
    </xf>
    <xf numFmtId="0" fontId="6" fillId="3" borderId="37" xfId="0" applyFont="1" applyFill="1" applyBorder="1" applyAlignment="1">
      <alignment horizontal="center"/>
    </xf>
    <xf numFmtId="0" fontId="6" fillId="3" borderId="38" xfId="0" applyFont="1" applyFill="1" applyBorder="1" applyAlignment="1">
      <alignment horizontal="center"/>
    </xf>
  </cellXfs>
  <cellStyles count="1">
    <cellStyle name="Standard" xfId="0" builtinId="0"/>
  </cellStyles>
  <dxfs count="10">
    <dxf>
      <fill>
        <patternFill>
          <bgColor indexed="51"/>
        </patternFill>
      </fill>
    </dxf>
    <dxf>
      <fill>
        <patternFill>
          <bgColor indexed="51"/>
        </patternFill>
      </fill>
    </dxf>
    <dxf>
      <font>
        <condense val="0"/>
        <extend val="0"/>
        <color indexed="9"/>
      </font>
    </dxf>
    <dxf>
      <fill>
        <patternFill>
          <bgColor indexed="51"/>
        </patternFill>
      </fill>
    </dxf>
    <dxf>
      <font>
        <condense val="0"/>
        <extend val="0"/>
        <color indexed="22"/>
      </font>
    </dxf>
    <dxf>
      <fill>
        <patternFill>
          <bgColor indexed="51"/>
        </patternFill>
      </fill>
    </dxf>
    <dxf>
      <font>
        <condense val="0"/>
        <extend val="0"/>
        <color indexed="9"/>
      </font>
    </dxf>
    <dxf>
      <fill>
        <patternFill>
          <bgColor indexed="51"/>
        </patternFill>
      </fill>
    </dxf>
    <dxf>
      <font>
        <condense val="0"/>
        <extend val="0"/>
        <color indexed="22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/>
  <dimension ref="A1:Q21"/>
  <sheetViews>
    <sheetView workbookViewId="0">
      <selection activeCell="A21" sqref="A21"/>
    </sheetView>
  </sheetViews>
  <sheetFormatPr baseColWidth="10" defaultRowHeight="12.75" x14ac:dyDescent="0.2"/>
  <cols>
    <col min="1" max="1" width="100.140625" style="20" customWidth="1"/>
    <col min="2" max="16384" width="11.42578125" style="20"/>
  </cols>
  <sheetData>
    <row r="1" spans="1:17" ht="13.5" thickBot="1" x14ac:dyDescent="0.25">
      <c r="A1" s="53" t="s">
        <v>33</v>
      </c>
      <c r="B1" s="62"/>
      <c r="C1" s="63"/>
      <c r="D1" s="63"/>
      <c r="E1" s="63"/>
      <c r="F1" s="63"/>
      <c r="G1" s="63"/>
      <c r="H1" s="63"/>
      <c r="I1" s="63"/>
      <c r="J1" s="63"/>
      <c r="K1" s="63"/>
      <c r="L1" s="63"/>
      <c r="M1" s="22"/>
      <c r="N1" s="22"/>
      <c r="O1" s="22"/>
      <c r="P1" s="22"/>
      <c r="Q1" s="22"/>
    </row>
    <row r="2" spans="1:17" x14ac:dyDescent="0.2"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</row>
    <row r="3" spans="1:17" x14ac:dyDescent="0.2">
      <c r="A3" s="70" t="s">
        <v>42</v>
      </c>
    </row>
    <row r="5" spans="1:17" x14ac:dyDescent="0.2">
      <c r="A5" s="20" t="s">
        <v>43</v>
      </c>
    </row>
    <row r="7" spans="1:17" x14ac:dyDescent="0.2">
      <c r="A7" s="20" t="s">
        <v>36</v>
      </c>
    </row>
    <row r="8" spans="1:17" x14ac:dyDescent="0.2">
      <c r="A8" s="20" t="s">
        <v>37</v>
      </c>
    </row>
    <row r="9" spans="1:17" x14ac:dyDescent="0.2">
      <c r="A9" s="20" t="s">
        <v>38</v>
      </c>
    </row>
    <row r="10" spans="1:17" x14ac:dyDescent="0.2">
      <c r="A10" s="20" t="s">
        <v>15</v>
      </c>
    </row>
    <row r="11" spans="1:17" x14ac:dyDescent="0.2">
      <c r="A11" s="20" t="s">
        <v>16</v>
      </c>
    </row>
    <row r="13" spans="1:17" x14ac:dyDescent="0.2">
      <c r="A13" s="20" t="s">
        <v>17</v>
      </c>
    </row>
    <row r="14" spans="1:17" x14ac:dyDescent="0.2">
      <c r="A14" s="20" t="s">
        <v>32</v>
      </c>
    </row>
    <row r="15" spans="1:17" x14ac:dyDescent="0.2">
      <c r="A15" s="20" t="s">
        <v>35</v>
      </c>
    </row>
    <row r="16" spans="1:17" x14ac:dyDescent="0.2">
      <c r="A16" s="20" t="s">
        <v>39</v>
      </c>
    </row>
    <row r="17" spans="1:1" x14ac:dyDescent="0.2">
      <c r="A17" s="20" t="s">
        <v>40</v>
      </c>
    </row>
    <row r="18" spans="1:1" x14ac:dyDescent="0.2">
      <c r="A18" s="20" t="s">
        <v>50</v>
      </c>
    </row>
    <row r="19" spans="1:1" x14ac:dyDescent="0.2">
      <c r="A19" s="20" t="s">
        <v>51</v>
      </c>
    </row>
    <row r="21" spans="1:1" x14ac:dyDescent="0.2">
      <c r="A21" s="69" t="s">
        <v>18</v>
      </c>
    </row>
  </sheetData>
  <phoneticPr fontId="2" type="noConversion"/>
  <pageMargins left="0.78740157499999996" right="0.78740157499999996" top="0.984251969" bottom="0.984251969" header="0.4921259845" footer="0.492125984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M26"/>
  <sheetViews>
    <sheetView tabSelected="1" workbookViewId="0">
      <selection activeCell="A3" sqref="A3"/>
    </sheetView>
  </sheetViews>
  <sheetFormatPr baseColWidth="10" defaultRowHeight="12.75" x14ac:dyDescent="0.2"/>
  <cols>
    <col min="1" max="12" width="10.85546875" style="20" customWidth="1"/>
    <col min="13" max="16384" width="11.42578125" style="20"/>
  </cols>
  <sheetData>
    <row r="1" spans="1:13" ht="13.5" thickBot="1" x14ac:dyDescent="0.25">
      <c r="A1" s="122" t="s">
        <v>33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4"/>
      <c r="M1" s="23"/>
    </row>
    <row r="2" spans="1:13" x14ac:dyDescent="0.2">
      <c r="A2" s="99" t="s">
        <v>49</v>
      </c>
      <c r="B2" s="100" t="s">
        <v>14</v>
      </c>
      <c r="C2" s="101" t="s">
        <v>44</v>
      </c>
      <c r="D2" s="99" t="s">
        <v>49</v>
      </c>
      <c r="E2" s="100" t="s">
        <v>14</v>
      </c>
      <c r="F2" s="101" t="s">
        <v>44</v>
      </c>
      <c r="G2" s="99" t="s">
        <v>49</v>
      </c>
      <c r="H2" s="100" t="s">
        <v>14</v>
      </c>
      <c r="I2" s="101" t="s">
        <v>44</v>
      </c>
      <c r="J2" s="99" t="s">
        <v>3</v>
      </c>
      <c r="K2" s="100" t="s">
        <v>29</v>
      </c>
      <c r="L2" s="101" t="s">
        <v>3</v>
      </c>
      <c r="M2" s="23"/>
    </row>
    <row r="3" spans="1:13" x14ac:dyDescent="0.2">
      <c r="A3" s="96"/>
      <c r="B3" s="107">
        <f>IF(A3&gt;0,SUMIF($G$10:$G$25,A3,$F$10:$F$25),0)</f>
        <v>0</v>
      </c>
      <c r="C3" s="108">
        <f>B3*1.5</f>
        <v>0</v>
      </c>
      <c r="D3" s="96"/>
      <c r="E3" s="107">
        <f>IF(D3&gt;0,SUMIF($G$10:$G$25,D3,$F$10:$F$25),0)</f>
        <v>0</v>
      </c>
      <c r="F3" s="108">
        <f>E3*1.5</f>
        <v>0</v>
      </c>
      <c r="G3" s="96"/>
      <c r="H3" s="107">
        <f>IF(G3&gt;0,SUMIF($G$10:$G$25,G3,$F$10:$F$25),0)</f>
        <v>0</v>
      </c>
      <c r="I3" s="108">
        <f>H3*1.5</f>
        <v>0</v>
      </c>
      <c r="J3" s="109">
        <f>SUM(J10:J25)</f>
        <v>0</v>
      </c>
      <c r="K3" s="102">
        <v>0</v>
      </c>
      <c r="L3" s="110">
        <f>J3+K3</f>
        <v>0</v>
      </c>
      <c r="M3" s="23"/>
    </row>
    <row r="4" spans="1:13" x14ac:dyDescent="0.2">
      <c r="A4" s="103" t="s">
        <v>49</v>
      </c>
      <c r="B4" s="104" t="s">
        <v>14</v>
      </c>
      <c r="C4" s="105" t="s">
        <v>44</v>
      </c>
      <c r="D4" s="103" t="s">
        <v>49</v>
      </c>
      <c r="E4" s="104" t="s">
        <v>14</v>
      </c>
      <c r="F4" s="105" t="s">
        <v>44</v>
      </c>
      <c r="G4" s="103" t="s">
        <v>49</v>
      </c>
      <c r="H4" s="104" t="s">
        <v>14</v>
      </c>
      <c r="I4" s="105" t="s">
        <v>44</v>
      </c>
      <c r="J4" s="103" t="s">
        <v>2</v>
      </c>
      <c r="K4" s="106" t="s">
        <v>30</v>
      </c>
      <c r="L4" s="105" t="s">
        <v>2</v>
      </c>
      <c r="M4" s="23"/>
    </row>
    <row r="5" spans="1:13" x14ac:dyDescent="0.2">
      <c r="A5" s="97"/>
      <c r="B5" s="107">
        <f>IF(A5&gt;0,SUMIF($G$10:$G$25,A5,$F$10:$F$25),0)</f>
        <v>0</v>
      </c>
      <c r="C5" s="108">
        <f>B5*1.5</f>
        <v>0</v>
      </c>
      <c r="D5" s="97"/>
      <c r="E5" s="107">
        <f>IF(D5&gt;0,SUMIF($G$10:$G$25,D5,$F$10:$F$25),0)</f>
        <v>0</v>
      </c>
      <c r="F5" s="108">
        <f>E5*1.5</f>
        <v>0</v>
      </c>
      <c r="G5" s="97"/>
      <c r="H5" s="107">
        <f>IF(G5&gt;0,SUMIF($G$10:$G$25,G5,$F$10:$F$25),0)</f>
        <v>0</v>
      </c>
      <c r="I5" s="108">
        <f>H5*1.5</f>
        <v>0</v>
      </c>
      <c r="J5" s="109">
        <f>SUM(L10:L25)</f>
        <v>0</v>
      </c>
      <c r="K5" s="102">
        <v>0</v>
      </c>
      <c r="L5" s="110">
        <f>J5+K5</f>
        <v>0</v>
      </c>
      <c r="M5" s="23"/>
    </row>
    <row r="6" spans="1:13" x14ac:dyDescent="0.2">
      <c r="A6" s="46" t="s">
        <v>49</v>
      </c>
      <c r="B6" s="45" t="s">
        <v>14</v>
      </c>
      <c r="C6" s="44" t="s">
        <v>44</v>
      </c>
      <c r="D6" s="46" t="s">
        <v>49</v>
      </c>
      <c r="E6" s="47" t="s">
        <v>14</v>
      </c>
      <c r="F6" s="76" t="s">
        <v>44</v>
      </c>
      <c r="G6" s="46" t="s">
        <v>49</v>
      </c>
      <c r="H6" s="47" t="s">
        <v>14</v>
      </c>
      <c r="I6" s="76" t="s">
        <v>44</v>
      </c>
      <c r="J6" s="64" t="s">
        <v>45</v>
      </c>
      <c r="K6" s="64" t="s">
        <v>27</v>
      </c>
      <c r="L6" s="71" t="s">
        <v>28</v>
      </c>
      <c r="M6" s="23"/>
    </row>
    <row r="7" spans="1:13" ht="13.5" thickBot="1" x14ac:dyDescent="0.25">
      <c r="A7" s="98"/>
      <c r="B7" s="77">
        <f>IF(A7&gt;0,SUMIF($G$10:$G$25,A7,$F$10:$F$25),0)</f>
        <v>0</v>
      </c>
      <c r="C7" s="78">
        <f>B7*1.5</f>
        <v>0</v>
      </c>
      <c r="D7" s="98"/>
      <c r="E7" s="77">
        <f>IF(D7&gt;0,SUMIF($G$10:$G$25,D7,$F$10:$F$25),0)</f>
        <v>0</v>
      </c>
      <c r="F7" s="78">
        <f>E7*1.5</f>
        <v>0</v>
      </c>
      <c r="G7" s="98"/>
      <c r="H7" s="77">
        <f>IF(G7&gt;0,SUMIF($G$10:$G$25,G7,$F$10:$F$25),0)</f>
        <v>0</v>
      </c>
      <c r="I7" s="78">
        <f>H7*1.5</f>
        <v>0</v>
      </c>
      <c r="J7" s="79"/>
      <c r="K7" s="80"/>
      <c r="L7" s="81">
        <f>IF(AND(J7&gt;0,K7&gt;0),IF(J7*K7&gt;=C3,IF(F10&gt;0,IF(K7-(F10/J7)&gt;=0,K7-(F10/J7),"error!"),0),"low gas!"),0)</f>
        <v>0</v>
      </c>
      <c r="M7" s="23"/>
    </row>
    <row r="8" spans="1:13" ht="6" customHeight="1" thickBot="1" x14ac:dyDescent="0.25">
      <c r="A8" s="36"/>
      <c r="B8" s="37"/>
      <c r="C8" s="38"/>
      <c r="D8" s="39"/>
      <c r="E8" s="37"/>
      <c r="F8" s="38"/>
      <c r="G8" s="39"/>
      <c r="H8" s="37"/>
      <c r="I8" s="38"/>
      <c r="J8" s="40"/>
      <c r="K8" s="41"/>
      <c r="L8" s="42"/>
      <c r="M8" s="23"/>
    </row>
    <row r="9" spans="1:13" s="29" customFormat="1" ht="22.5" customHeight="1" thickBot="1" x14ac:dyDescent="0.25">
      <c r="A9" s="72" t="s">
        <v>10</v>
      </c>
      <c r="B9" s="73" t="s">
        <v>11</v>
      </c>
      <c r="C9" s="73" t="s">
        <v>13</v>
      </c>
      <c r="D9" s="73" t="s">
        <v>12</v>
      </c>
      <c r="E9" s="73" t="s">
        <v>5</v>
      </c>
      <c r="F9" s="73" t="s">
        <v>14</v>
      </c>
      <c r="G9" s="73" t="s">
        <v>0</v>
      </c>
      <c r="H9" s="73" t="s">
        <v>46</v>
      </c>
      <c r="I9" s="73" t="s">
        <v>47</v>
      </c>
      <c r="J9" s="74" t="s">
        <v>1</v>
      </c>
      <c r="K9" s="74" t="s">
        <v>48</v>
      </c>
      <c r="L9" s="75" t="s">
        <v>2</v>
      </c>
      <c r="M9" s="43"/>
    </row>
    <row r="10" spans="1:13" ht="21.75" customHeight="1" x14ac:dyDescent="0.2">
      <c r="A10" s="111"/>
      <c r="B10" s="112"/>
      <c r="C10" s="48">
        <f>IF(B10&gt;0,B10,0)</f>
        <v>0</v>
      </c>
      <c r="D10" s="119"/>
      <c r="E10" s="66">
        <f>IF(VALUE(A10)&gt;0,LOOKUP(A10,Tables!$J$3:$J$41,Tables!$K$3:$K$41),0)</f>
        <v>0</v>
      </c>
      <c r="F10" s="49">
        <f>B10*D10*E10</f>
        <v>0</v>
      </c>
      <c r="G10" s="119">
        <f>MIN(100,IF(E10&gt;0, IF(LOOKUP(IF(E10&gt;0,INT(IF(E10&lt;=1.6,1.6,1.4)/E10*100),0),Tables!$D$2:$D$11)&gt;0,LOOKUP(IF(E10&gt;0,INT(IF(E10&lt;=1.6,1.6,1.4)/E10*100),0),Tables!$D$2:$D$11),INT(IF(E10&lt;=1.6,1.6,1.4)/E10*100)),0))</f>
        <v>0</v>
      </c>
      <c r="H10" s="7">
        <f t="shared" ref="H10:H21" si="0">IF(G10&gt;0,ROUND(E10*G10/100,2),0)</f>
        <v>0</v>
      </c>
      <c r="I10" s="50">
        <f>IF(H10&gt;=0.5,ROUND((((E10*G10/100)-0.5)/0.5)^0.83,2),0)</f>
        <v>0</v>
      </c>
      <c r="J10" s="50">
        <f>I10*B10</f>
        <v>0</v>
      </c>
      <c r="K10" s="7">
        <f>IF(H10&gt;=0.5,LOOKUP(H10,Tables!$F$3:$F$14,Tables!$G$3:$G$14),0)</f>
        <v>0</v>
      </c>
      <c r="L10" s="51">
        <f t="shared" ref="L10:L25" si="1">B10*K10</f>
        <v>0</v>
      </c>
      <c r="M10" s="23"/>
    </row>
    <row r="11" spans="1:13" ht="21.75" customHeight="1" x14ac:dyDescent="0.2">
      <c r="A11" s="113"/>
      <c r="B11" s="114"/>
      <c r="C11" s="3">
        <f>IF(B11&gt;0,C10+B11,0)</f>
        <v>0</v>
      </c>
      <c r="D11" s="120">
        <f t="shared" ref="D11:D18" si="2">IF(B11&gt;0,D10,0)</f>
        <v>0</v>
      </c>
      <c r="E11" s="67">
        <f>IF(VALUE(A11)&gt;0,LOOKUP(A11,Tables!$J$3:$J$41,Tables!$K$3:$K$41),0)</f>
        <v>0</v>
      </c>
      <c r="F11" s="9">
        <f t="shared" ref="F11:F21" si="3">B11*D11*E11</f>
        <v>0</v>
      </c>
      <c r="G11" s="120">
        <f>MIN(100,IF(E11&gt;0, IF(LOOKUP(IF(E11&gt;0,INT(IF(E11&lt;=1.6,1.6,1.4)/E11*100),0),Tables!$D$2:$D$11)&gt;0,LOOKUP(IF(E11&gt;0,INT(IF(E11&lt;=1.6,1.6,1.4)/E11*100),0),Tables!$D$2:$D$11),INT(IF(E11&lt;=1.6,1.6,1.4)/E11*100)),0))</f>
        <v>0</v>
      </c>
      <c r="H11" s="6">
        <f t="shared" si="0"/>
        <v>0</v>
      </c>
      <c r="I11" s="6">
        <f t="shared" ref="I11:I21" si="4">IF(H11&gt;=0.5,ROUND((((E11*G11/100)-0.5)/0.5)^0.83,2),0)</f>
        <v>0</v>
      </c>
      <c r="J11" s="6">
        <f>B11*I11</f>
        <v>0</v>
      </c>
      <c r="K11" s="6">
        <f>IF(H11&gt;=0.5,LOOKUP(H11,Tables!$F$3:$F$14,Tables!$G$3:$G$14),0)</f>
        <v>0</v>
      </c>
      <c r="L11" s="17">
        <f t="shared" si="1"/>
        <v>0</v>
      </c>
      <c r="M11" s="23"/>
    </row>
    <row r="12" spans="1:13" ht="21.75" customHeight="1" x14ac:dyDescent="0.2">
      <c r="A12" s="115"/>
      <c r="B12" s="116"/>
      <c r="C12" s="4">
        <f t="shared" ref="C12:C21" si="5">IF(B12&gt;0,C11+B12,0)</f>
        <v>0</v>
      </c>
      <c r="D12" s="119">
        <f t="shared" si="2"/>
        <v>0</v>
      </c>
      <c r="E12" s="66">
        <f>IF(VALUE(A12)&gt;0,LOOKUP(A12,Tables!$J$3:$J$41,Tables!$K$3:$K$41),0)</f>
        <v>0</v>
      </c>
      <c r="F12" s="10">
        <f t="shared" si="3"/>
        <v>0</v>
      </c>
      <c r="G12" s="119">
        <f>MIN(100,IF(E12&gt;0, IF(LOOKUP(IF(E12&gt;0,INT(IF(E12&lt;=1.6,1.6,1.4)/E12*100),0),Tables!$D$2:$D$11)&gt;0,LOOKUP(IF(E12&gt;0,INT(IF(E12&lt;=1.6,1.6,1.4)/E12*100),0),Tables!$D$2:$D$11),INT(IF(E12&lt;=1.6,1.6,1.4)/E12*100)),0))</f>
        <v>0</v>
      </c>
      <c r="H12" s="7">
        <f t="shared" si="0"/>
        <v>0</v>
      </c>
      <c r="I12" s="7">
        <f t="shared" si="4"/>
        <v>0</v>
      </c>
      <c r="J12" s="7">
        <f t="shared" ref="J12:J21" si="6">B12*I12</f>
        <v>0</v>
      </c>
      <c r="K12" s="7">
        <f>IF(H12&gt;=0.5,LOOKUP(H12,Tables!$F$3:$F$14,Tables!$G$3:$G$14),0)</f>
        <v>0</v>
      </c>
      <c r="L12" s="18">
        <f t="shared" si="1"/>
        <v>0</v>
      </c>
      <c r="M12" s="23"/>
    </row>
    <row r="13" spans="1:13" ht="21.75" customHeight="1" x14ac:dyDescent="0.2">
      <c r="A13" s="113"/>
      <c r="B13" s="114"/>
      <c r="C13" s="3">
        <f t="shared" si="5"/>
        <v>0</v>
      </c>
      <c r="D13" s="120">
        <f t="shared" si="2"/>
        <v>0</v>
      </c>
      <c r="E13" s="67">
        <f>IF(VALUE(A13)&gt;0,LOOKUP(A13,Tables!$J$3:$J$41,Tables!$K$3:$K$41),0)</f>
        <v>0</v>
      </c>
      <c r="F13" s="9">
        <f t="shared" si="3"/>
        <v>0</v>
      </c>
      <c r="G13" s="120">
        <f>MIN(100,IF(E13&gt;0, IF(LOOKUP(IF(E13&gt;0,INT(IF(E13&lt;=1.6,1.6,1.4)/E13*100),0),Tables!$D$2:$D$11)&gt;0,LOOKUP(IF(E13&gt;0,INT(IF(E13&lt;=1.6,1.6,1.4)/E13*100),0),Tables!$D$2:$D$11),INT(IF(E13&lt;=1.6,1.6,1.4)/E13*100)),0))</f>
        <v>0</v>
      </c>
      <c r="H13" s="6">
        <f t="shared" si="0"/>
        <v>0</v>
      </c>
      <c r="I13" s="6">
        <f t="shared" si="4"/>
        <v>0</v>
      </c>
      <c r="J13" s="6">
        <f t="shared" si="6"/>
        <v>0</v>
      </c>
      <c r="K13" s="6">
        <f>IF(H13&gt;=0.5,LOOKUP(H13,Tables!$F$3:$F$14,Tables!$G$3:$G$14),0)</f>
        <v>0</v>
      </c>
      <c r="L13" s="17">
        <f t="shared" si="1"/>
        <v>0</v>
      </c>
      <c r="M13" s="23"/>
    </row>
    <row r="14" spans="1:13" ht="21.75" customHeight="1" x14ac:dyDescent="0.2">
      <c r="A14" s="115"/>
      <c r="B14" s="116"/>
      <c r="C14" s="4">
        <f t="shared" si="5"/>
        <v>0</v>
      </c>
      <c r="D14" s="119">
        <f t="shared" si="2"/>
        <v>0</v>
      </c>
      <c r="E14" s="66">
        <f>IF(VALUE(A14)&gt;0,LOOKUP(A14,Tables!$J$3:$J$41,Tables!$K$3:$K$41),0)</f>
        <v>0</v>
      </c>
      <c r="F14" s="10">
        <f t="shared" si="3"/>
        <v>0</v>
      </c>
      <c r="G14" s="119">
        <f>MIN(100,IF(E14&gt;0, IF(LOOKUP(IF(E14&gt;0,INT(IF(E14&lt;=1.6,1.6,1.4)/E14*100),0),Tables!$D$2:$D$11)&gt;0,LOOKUP(IF(E14&gt;0,INT(IF(E14&lt;=1.6,1.6,1.4)/E14*100),0),Tables!$D$2:$D$11),INT(IF(E14&lt;=1.6,1.6,1.4)/E14*100)),0))</f>
        <v>0</v>
      </c>
      <c r="H14" s="7">
        <f t="shared" si="0"/>
        <v>0</v>
      </c>
      <c r="I14" s="7">
        <f t="shared" si="4"/>
        <v>0</v>
      </c>
      <c r="J14" s="7">
        <f t="shared" si="6"/>
        <v>0</v>
      </c>
      <c r="K14" s="7">
        <f>IF(H14&gt;=0.5,LOOKUP(H14,Tables!$F$3:$F$14,Tables!$G$3:$G$14),0)</f>
        <v>0</v>
      </c>
      <c r="L14" s="18">
        <f t="shared" si="1"/>
        <v>0</v>
      </c>
      <c r="M14" s="23"/>
    </row>
    <row r="15" spans="1:13" ht="21.75" customHeight="1" x14ac:dyDescent="0.2">
      <c r="A15" s="113"/>
      <c r="B15" s="114"/>
      <c r="C15" s="3">
        <f t="shared" si="5"/>
        <v>0</v>
      </c>
      <c r="D15" s="120">
        <f t="shared" si="2"/>
        <v>0</v>
      </c>
      <c r="E15" s="67">
        <f>IF(VALUE(A15)&gt;0,LOOKUP(A15,Tables!$J$3:$J$41,Tables!$K$3:$K$41),0)</f>
        <v>0</v>
      </c>
      <c r="F15" s="9">
        <f t="shared" si="3"/>
        <v>0</v>
      </c>
      <c r="G15" s="120">
        <f>MIN(100,IF(E15&gt;0, IF(LOOKUP(IF(E15&gt;0,INT(IF(E15&lt;=1.6,1.6,1.4)/E15*100),0),Tables!$D$2:$D$11)&gt;0,LOOKUP(IF(E15&gt;0,INT(IF(E15&lt;=1.6,1.6,1.4)/E15*100),0),Tables!$D$2:$D$11),INT(IF(E15&lt;=1.6,1.6,1.4)/E15*100)),0))</f>
        <v>0</v>
      </c>
      <c r="H15" s="6">
        <f t="shared" si="0"/>
        <v>0</v>
      </c>
      <c r="I15" s="6">
        <f t="shared" si="4"/>
        <v>0</v>
      </c>
      <c r="J15" s="6">
        <f t="shared" si="6"/>
        <v>0</v>
      </c>
      <c r="K15" s="6">
        <f>IF(H15&gt;=0.5,LOOKUP(H15,Tables!$F$3:$F$14,Tables!$G$3:$G$14),0)</f>
        <v>0</v>
      </c>
      <c r="L15" s="17">
        <f t="shared" si="1"/>
        <v>0</v>
      </c>
      <c r="M15" s="23"/>
    </row>
    <row r="16" spans="1:13" ht="21.75" customHeight="1" x14ac:dyDescent="0.2">
      <c r="A16" s="115"/>
      <c r="B16" s="116"/>
      <c r="C16" s="4">
        <f t="shared" si="5"/>
        <v>0</v>
      </c>
      <c r="D16" s="119">
        <f t="shared" si="2"/>
        <v>0</v>
      </c>
      <c r="E16" s="66">
        <f>IF(VALUE(A16)&gt;0,LOOKUP(A16,Tables!$J$3:$J$41,Tables!$K$3:$K$41),0)</f>
        <v>0</v>
      </c>
      <c r="F16" s="10">
        <f t="shared" si="3"/>
        <v>0</v>
      </c>
      <c r="G16" s="119">
        <f>MIN(100,IF(E16&gt;0, IF(LOOKUP(IF(E16&gt;0,INT(IF(E16&lt;=1.6,1.6,1.4)/E16*100),0),Tables!$D$2:$D$11)&gt;0,LOOKUP(IF(E16&gt;0,INT(IF(E16&lt;=1.6,1.6,1.4)/E16*100),0),Tables!$D$2:$D$11),INT(IF(E16&lt;=1.6,1.6,1.4)/E16*100)),0))</f>
        <v>0</v>
      </c>
      <c r="H16" s="7">
        <f t="shared" si="0"/>
        <v>0</v>
      </c>
      <c r="I16" s="7">
        <f t="shared" si="4"/>
        <v>0</v>
      </c>
      <c r="J16" s="7">
        <f t="shared" si="6"/>
        <v>0</v>
      </c>
      <c r="K16" s="7">
        <f>IF(H16&gt;=0.5,LOOKUP(H16,Tables!$F$3:$F$14,Tables!$G$3:$G$14),0)</f>
        <v>0</v>
      </c>
      <c r="L16" s="18">
        <f t="shared" si="1"/>
        <v>0</v>
      </c>
      <c r="M16" s="23"/>
    </row>
    <row r="17" spans="1:13" ht="21.75" customHeight="1" x14ac:dyDescent="0.2">
      <c r="A17" s="113"/>
      <c r="B17" s="114"/>
      <c r="C17" s="3">
        <f t="shared" si="5"/>
        <v>0</v>
      </c>
      <c r="D17" s="120">
        <f t="shared" si="2"/>
        <v>0</v>
      </c>
      <c r="E17" s="67">
        <f>IF(VALUE(A17)&gt;0,LOOKUP(A17,Tables!$J$3:$J$41,Tables!$K$3:$K$41),0)</f>
        <v>0</v>
      </c>
      <c r="F17" s="9">
        <f t="shared" si="3"/>
        <v>0</v>
      </c>
      <c r="G17" s="120">
        <f>MIN(100,IF(E17&gt;0, IF(LOOKUP(IF(E17&gt;0,INT(IF(E17&lt;=1.6,1.6,1.4)/E17*100),0),Tables!$D$2:$D$11)&gt;0,LOOKUP(IF(E17&gt;0,INT(IF(E17&lt;=1.6,1.6,1.4)/E17*100),0),Tables!$D$2:$D$11),INT(IF(E17&lt;=1.6,1.6,1.4)/E17*100)),0))</f>
        <v>0</v>
      </c>
      <c r="H17" s="6">
        <f t="shared" si="0"/>
        <v>0</v>
      </c>
      <c r="I17" s="6">
        <f t="shared" si="4"/>
        <v>0</v>
      </c>
      <c r="J17" s="6">
        <f t="shared" si="6"/>
        <v>0</v>
      </c>
      <c r="K17" s="6">
        <f>IF(H17&gt;=0.5,LOOKUP(H17,Tables!$F$3:$F$14,Tables!$G$3:$G$14),0)</f>
        <v>0</v>
      </c>
      <c r="L17" s="17">
        <f t="shared" si="1"/>
        <v>0</v>
      </c>
      <c r="M17" s="23"/>
    </row>
    <row r="18" spans="1:13" ht="21.75" customHeight="1" x14ac:dyDescent="0.2">
      <c r="A18" s="115"/>
      <c r="B18" s="116"/>
      <c r="C18" s="4">
        <f t="shared" si="5"/>
        <v>0</v>
      </c>
      <c r="D18" s="119">
        <f t="shared" si="2"/>
        <v>0</v>
      </c>
      <c r="E18" s="66">
        <f>IF(VALUE(A18)&gt;0,LOOKUP(A18,Tables!$J$3:$J$41,Tables!$K$3:$K$41),0)</f>
        <v>0</v>
      </c>
      <c r="F18" s="10">
        <f t="shared" si="3"/>
        <v>0</v>
      </c>
      <c r="G18" s="119">
        <f>MIN(100,IF(E18&gt;0, IF(LOOKUP(IF(E18&gt;0,INT(IF(E18&lt;=1.6,1.6,1.4)/E18*100),0),Tables!$D$2:$D$11)&gt;0,LOOKUP(IF(E18&gt;0,INT(IF(E18&lt;=1.6,1.6,1.4)/E18*100),0),Tables!$D$2:$D$11),INT(IF(E18&lt;=1.6,1.6,1.4)/E18*100)),0))</f>
        <v>0</v>
      </c>
      <c r="H18" s="7">
        <f t="shared" si="0"/>
        <v>0</v>
      </c>
      <c r="I18" s="7">
        <f t="shared" si="4"/>
        <v>0</v>
      </c>
      <c r="J18" s="7">
        <f t="shared" si="6"/>
        <v>0</v>
      </c>
      <c r="K18" s="7">
        <f>IF(H18&gt;=0.5,LOOKUP(H18,Tables!$F$3:$F$14,Tables!$G$3:$G$14),0)</f>
        <v>0</v>
      </c>
      <c r="L18" s="18">
        <f t="shared" si="1"/>
        <v>0</v>
      </c>
      <c r="M18" s="23"/>
    </row>
    <row r="19" spans="1:13" ht="21.75" customHeight="1" x14ac:dyDescent="0.2">
      <c r="A19" s="113"/>
      <c r="B19" s="114"/>
      <c r="C19" s="3">
        <f t="shared" si="5"/>
        <v>0</v>
      </c>
      <c r="D19" s="120">
        <f t="shared" ref="D19:D25" si="7">IF(B19&gt;0,D18,0)</f>
        <v>0</v>
      </c>
      <c r="E19" s="67">
        <f>IF(VALUE(A19)&gt;0,LOOKUP(A19,Tables!$J$3:$J$41,Tables!$K$3:$K$41),0)</f>
        <v>0</v>
      </c>
      <c r="F19" s="9">
        <f t="shared" si="3"/>
        <v>0</v>
      </c>
      <c r="G19" s="120">
        <f>MIN(100,IF(E19&gt;0, IF(LOOKUP(IF(E19&gt;0,INT(IF(E19&lt;=1.6,1.6,1.4)/E19*100),0),Tables!$D$2:$D$11)&gt;0,LOOKUP(IF(E19&gt;0,INT(IF(E19&lt;=1.6,1.6,1.4)/E19*100),0),Tables!$D$2:$D$11),INT(IF(E19&lt;=1.6,1.6,1.4)/E19*100)),0))</f>
        <v>0</v>
      </c>
      <c r="H19" s="6">
        <f t="shared" si="0"/>
        <v>0</v>
      </c>
      <c r="I19" s="6">
        <f t="shared" si="4"/>
        <v>0</v>
      </c>
      <c r="J19" s="6">
        <f t="shared" si="6"/>
        <v>0</v>
      </c>
      <c r="K19" s="6">
        <f>IF(H19&gt;=0.5,LOOKUP(H19,Tables!$F$3:$F$14,Tables!$G$3:$G$14),0)</f>
        <v>0</v>
      </c>
      <c r="L19" s="17">
        <f t="shared" si="1"/>
        <v>0</v>
      </c>
      <c r="M19" s="23"/>
    </row>
    <row r="20" spans="1:13" ht="21.75" customHeight="1" x14ac:dyDescent="0.2">
      <c r="A20" s="115"/>
      <c r="B20" s="116"/>
      <c r="C20" s="4">
        <f t="shared" si="5"/>
        <v>0</v>
      </c>
      <c r="D20" s="119">
        <f t="shared" si="7"/>
        <v>0</v>
      </c>
      <c r="E20" s="66">
        <f>IF(VALUE(A20)&gt;0,LOOKUP(A20,Tables!$J$3:$J$41,Tables!$K$3:$K$41),0)</f>
        <v>0</v>
      </c>
      <c r="F20" s="10">
        <f t="shared" si="3"/>
        <v>0</v>
      </c>
      <c r="G20" s="119">
        <f>MIN(100,IF(E20&gt;0, IF(LOOKUP(IF(E20&gt;0,INT(IF(E20&lt;=1.6,1.6,1.4)/E20*100),0),Tables!$D$2:$D$11)&gt;0,LOOKUP(IF(E20&gt;0,INT(IF(E20&lt;=1.6,1.6,1.4)/E20*100),0),Tables!$D$2:$D$11),INT(IF(E20&lt;=1.6,1.6,1.4)/E20*100)),0))</f>
        <v>0</v>
      </c>
      <c r="H20" s="7">
        <f t="shared" si="0"/>
        <v>0</v>
      </c>
      <c r="I20" s="7">
        <f t="shared" si="4"/>
        <v>0</v>
      </c>
      <c r="J20" s="7">
        <f t="shared" si="6"/>
        <v>0</v>
      </c>
      <c r="K20" s="7">
        <f>IF(H20&gt;=0.5,LOOKUP(H20,Tables!$F$3:$F$14,Tables!$G$3:$G$14),0)</f>
        <v>0</v>
      </c>
      <c r="L20" s="18">
        <f t="shared" si="1"/>
        <v>0</v>
      </c>
      <c r="M20" s="23"/>
    </row>
    <row r="21" spans="1:13" ht="21.75" customHeight="1" x14ac:dyDescent="0.2">
      <c r="A21" s="113"/>
      <c r="B21" s="114"/>
      <c r="C21" s="3">
        <f t="shared" si="5"/>
        <v>0</v>
      </c>
      <c r="D21" s="120">
        <f t="shared" si="7"/>
        <v>0</v>
      </c>
      <c r="E21" s="67">
        <f>IF(VALUE(A21)&gt;0,LOOKUP(A21,Tables!$J$3:$J$41,Tables!$K$3:$K$41),0)</f>
        <v>0</v>
      </c>
      <c r="F21" s="9">
        <f t="shared" si="3"/>
        <v>0</v>
      </c>
      <c r="G21" s="120">
        <f>MIN(100,IF(E21&gt;0, IF(LOOKUP(IF(E21&gt;0,INT(IF(E21&lt;=1.6,1.6,1.4)/E21*100),0),Tables!$D$2:$D$11)&gt;0,LOOKUP(IF(E21&gt;0,INT(IF(E21&lt;=1.6,1.6,1.4)/E21*100),0),Tables!$D$2:$D$11),INT(IF(E21&lt;=1.6,1.6,1.4)/E21*100)),0))</f>
        <v>0</v>
      </c>
      <c r="H21" s="6">
        <f t="shared" si="0"/>
        <v>0</v>
      </c>
      <c r="I21" s="6">
        <f t="shared" si="4"/>
        <v>0</v>
      </c>
      <c r="J21" s="6">
        <f t="shared" si="6"/>
        <v>0</v>
      </c>
      <c r="K21" s="6">
        <f>IF(H21&gt;=0.5,LOOKUP(H21,Tables!$F$3:$F$14,Tables!$G$3:$G$14),0)</f>
        <v>0</v>
      </c>
      <c r="L21" s="17">
        <f t="shared" si="1"/>
        <v>0</v>
      </c>
      <c r="M21" s="23"/>
    </row>
    <row r="22" spans="1:13" ht="21.75" customHeight="1" x14ac:dyDescent="0.2">
      <c r="A22" s="115"/>
      <c r="B22" s="116"/>
      <c r="C22" s="4">
        <f>IF(B22&gt;0,C21+B22,0)</f>
        <v>0</v>
      </c>
      <c r="D22" s="119">
        <f t="shared" si="7"/>
        <v>0</v>
      </c>
      <c r="E22" s="66">
        <f>IF(VALUE(A22)&gt;0,LOOKUP(A22,Tables!$J$3:$J$41,Tables!$K$3:$K$41),0)</f>
        <v>0</v>
      </c>
      <c r="F22" s="10">
        <f>B22*D22*E22</f>
        <v>0</v>
      </c>
      <c r="G22" s="119">
        <f>MIN(100,IF(E22&gt;0, IF(LOOKUP(IF(E22&gt;0,INT(IF(E22&lt;=1.6,1.6,1.4)/E22*100),0),Tables!$D$2:$D$11)&gt;0,LOOKUP(IF(E22&gt;0,INT(IF(E22&lt;=1.6,1.6,1.4)/E22*100),0),Tables!$D$2:$D$11),INT(IF(E22&lt;=1.6,1.6,1.4)/E22*100)),0))</f>
        <v>0</v>
      </c>
      <c r="H22" s="7">
        <f>IF(G22&gt;0,ROUND(E22*G22/100,2),0)</f>
        <v>0</v>
      </c>
      <c r="I22" s="7">
        <f>IF(H22&gt;=0.5,ROUND((((E22*G22/100)-0.5)/0.5)^0.83,2),0)</f>
        <v>0</v>
      </c>
      <c r="J22" s="7">
        <f>B22*I22</f>
        <v>0</v>
      </c>
      <c r="K22" s="7">
        <f>IF(H22&gt;=0.5,LOOKUP(H22,Tables!$F$3:$F$14,Tables!$G$3:$G$14),0)</f>
        <v>0</v>
      </c>
      <c r="L22" s="18">
        <f t="shared" si="1"/>
        <v>0</v>
      </c>
      <c r="M22" s="23"/>
    </row>
    <row r="23" spans="1:13" ht="21.75" customHeight="1" x14ac:dyDescent="0.2">
      <c r="A23" s="113"/>
      <c r="B23" s="114"/>
      <c r="C23" s="3">
        <f>IF(B23&gt;0,C22+B23,0)</f>
        <v>0</v>
      </c>
      <c r="D23" s="120">
        <f t="shared" si="7"/>
        <v>0</v>
      </c>
      <c r="E23" s="67">
        <f>IF(VALUE(A23)&gt;0,LOOKUP(A23,Tables!$J$3:$J$41,Tables!$K$3:$K$41),0)</f>
        <v>0</v>
      </c>
      <c r="F23" s="9">
        <f>B23*D23*E23</f>
        <v>0</v>
      </c>
      <c r="G23" s="120">
        <f>MIN(100,IF(E23&gt;0, IF(LOOKUP(IF(E23&gt;0,INT(IF(E23&lt;=1.6,1.6,1.4)/E23*100),0),Tables!$D$2:$D$11)&gt;0,LOOKUP(IF(E23&gt;0,INT(IF(E23&lt;=1.6,1.6,1.4)/E23*100),0),Tables!$D$2:$D$11),INT(IF(E23&lt;=1.6,1.6,1.4)/E23*100)),0))</f>
        <v>0</v>
      </c>
      <c r="H23" s="6">
        <f>IF(G23&gt;0,ROUND(E23*G23/100,2),0)</f>
        <v>0</v>
      </c>
      <c r="I23" s="6">
        <f>IF(H23&gt;=0.5,ROUND((((E23*G23/100)-0.5)/0.5)^0.83,2),0)</f>
        <v>0</v>
      </c>
      <c r="J23" s="6">
        <f>B23*I23</f>
        <v>0</v>
      </c>
      <c r="K23" s="6">
        <f>IF(H23&gt;=0.5,LOOKUP(H23,Tables!$F$3:$F$14,Tables!$G$3:$G$14),0)</f>
        <v>0</v>
      </c>
      <c r="L23" s="17">
        <f t="shared" si="1"/>
        <v>0</v>
      </c>
      <c r="M23" s="23"/>
    </row>
    <row r="24" spans="1:13" ht="21.75" customHeight="1" x14ac:dyDescent="0.2">
      <c r="A24" s="115"/>
      <c r="B24" s="116"/>
      <c r="C24" s="4">
        <f>IF(B24&gt;0,C23+B24,0)</f>
        <v>0</v>
      </c>
      <c r="D24" s="119">
        <f t="shared" si="7"/>
        <v>0</v>
      </c>
      <c r="E24" s="66">
        <f>IF(VALUE(A24)&gt;0,LOOKUP(A24,Tables!$J$3:$J$41,Tables!$K$3:$K$41),0)</f>
        <v>0</v>
      </c>
      <c r="F24" s="10">
        <f>B24*D24*E24</f>
        <v>0</v>
      </c>
      <c r="G24" s="119">
        <f>MIN(100,IF(E24&gt;0, IF(LOOKUP(IF(E24&gt;0,INT(IF(E24&lt;=1.6,1.6,1.4)/E24*100),0),Tables!$D$2:$D$11)&gt;0,LOOKUP(IF(E24&gt;0,INT(IF(E24&lt;=1.6,1.6,1.4)/E24*100),0),Tables!$D$2:$D$11),INT(IF(E24&lt;=1.6,1.6,1.4)/E24*100)),0))</f>
        <v>0</v>
      </c>
      <c r="H24" s="7">
        <f>IF(G24&gt;0,ROUND(E24*G24/100,2),0)</f>
        <v>0</v>
      </c>
      <c r="I24" s="7">
        <f>IF(H24&gt;=0.5,ROUND((((E24*G24/100)-0.5)/0.5)^0.83,2),0)</f>
        <v>0</v>
      </c>
      <c r="J24" s="7">
        <f>B24*I24</f>
        <v>0</v>
      </c>
      <c r="K24" s="7">
        <f>IF(H24&gt;=0.5,LOOKUP(H24,Tables!$F$3:$F$14,Tables!$G$3:$G$14),0)</f>
        <v>0</v>
      </c>
      <c r="L24" s="18">
        <f t="shared" si="1"/>
        <v>0</v>
      </c>
      <c r="M24" s="23"/>
    </row>
    <row r="25" spans="1:13" ht="21.75" customHeight="1" thickBot="1" x14ac:dyDescent="0.25">
      <c r="A25" s="117"/>
      <c r="B25" s="118"/>
      <c r="C25" s="5">
        <f>IF(B25&gt;0,C24+B25,0)</f>
        <v>0</v>
      </c>
      <c r="D25" s="121">
        <f t="shared" si="7"/>
        <v>0</v>
      </c>
      <c r="E25" s="68">
        <f>IF(VALUE(A25)&gt;0,LOOKUP(A25,Tables!$J$3:$J$41,Tables!$K$3:$K$41),0)</f>
        <v>0</v>
      </c>
      <c r="F25" s="11">
        <f>B25*D25*E25</f>
        <v>0</v>
      </c>
      <c r="G25" s="121">
        <f>MIN(100,IF(E25&gt;0, IF(LOOKUP(IF(E25&gt;0,INT(IF(E25&lt;=1.6,1.6,1.4)/E25*100),0),Tables!$D$2:$D$11)&gt;0,LOOKUP(IF(E25&gt;0,INT(IF(E25&lt;=1.6,1.6,1.4)/E25*100),0),Tables!$D$2:$D$11),INT(IF(E25&lt;=1.6,1.6,1.4)/E25*100)),0))</f>
        <v>0</v>
      </c>
      <c r="H25" s="8">
        <f>IF(G25&gt;0,ROUND(E25*G25/100,2),0)</f>
        <v>0</v>
      </c>
      <c r="I25" s="8">
        <f>IF(H25&gt;=0.5,ROUND((((E25*G25/100)-0.5)/0.5)^0.83,2),0)</f>
        <v>0</v>
      </c>
      <c r="J25" s="8">
        <f>B25*I25</f>
        <v>0</v>
      </c>
      <c r="K25" s="8">
        <f>IF(H25&gt;=0.5,LOOKUP(H25,Tables!$F$3:$F$14,Tables!$G$3:$G$14),0)</f>
        <v>0</v>
      </c>
      <c r="L25" s="19">
        <f t="shared" si="1"/>
        <v>0</v>
      </c>
      <c r="M25" s="23"/>
    </row>
    <row r="26" spans="1:13" x14ac:dyDescent="0.2">
      <c r="A26" s="24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</row>
  </sheetData>
  <dataConsolidate/>
  <mergeCells count="1">
    <mergeCell ref="A1:L1"/>
  </mergeCells>
  <phoneticPr fontId="2" type="noConversion"/>
  <conditionalFormatting sqref="H7:I8 B3:C3 H5:I5 B5:C5 B7:C8 E3:F3 E5:F5 E7:F8 H3:L3 I18:L18 I20:L20 I24:L24 I22:L22 I16:L16 I14:L14 I12:L12 I10:L10 L5 C18:G18 C16:G16 C14:G14 C12:G12 C22:G22 C20:G20 C24:G24 C10:G10 L7">
    <cfRule type="cellIs" dxfId="9" priority="1" stopIfTrue="1" operator="equal">
      <formula>0</formula>
    </cfRule>
  </conditionalFormatting>
  <conditionalFormatting sqref="I13:L13 I17:L17 I19:L19 I21:L21 I25:L25 I23:L23 I11:L11 I15:L15 C11:G11 C17:G17 C15:G15 C13:G13 C25:G25 C23:G23 C21:G21 C19:G19">
    <cfRule type="cellIs" dxfId="8" priority="2" stopIfTrue="1" operator="equal">
      <formula>0</formula>
    </cfRule>
  </conditionalFormatting>
  <conditionalFormatting sqref="H20 H18 H24 H22 H16 H14 H12 H10">
    <cfRule type="cellIs" dxfId="7" priority="3" stopIfTrue="1" operator="greaterThan">
      <formula>1.4</formula>
    </cfRule>
    <cfRule type="cellIs" dxfId="6" priority="4" stopIfTrue="1" operator="equal">
      <formula>0</formula>
    </cfRule>
  </conditionalFormatting>
  <conditionalFormatting sqref="H17 H19 H21 H25 H23 H15 H13 H11">
    <cfRule type="cellIs" dxfId="5" priority="5" stopIfTrue="1" operator="greaterThan">
      <formula>1.4</formula>
    </cfRule>
    <cfRule type="cellIs" dxfId="4" priority="6" stopIfTrue="1" operator="equal">
      <formula>0</formula>
    </cfRule>
  </conditionalFormatting>
  <conditionalFormatting sqref="J5:K5">
    <cfRule type="cellIs" dxfId="3" priority="7" stopIfTrue="1" operator="greaterThan">
      <formula>100</formula>
    </cfRule>
    <cfRule type="cellIs" dxfId="2" priority="8" stopIfTrue="1" operator="equal">
      <formula>0</formula>
    </cfRule>
  </conditionalFormatting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  <cellWatches>
    <cellWatch r="A3"/>
    <cellWatch r="A5"/>
  </cellWatch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/>
  <dimension ref="A1:L100"/>
  <sheetViews>
    <sheetView workbookViewId="0">
      <selection activeCell="G28" sqref="G28"/>
    </sheetView>
  </sheetViews>
  <sheetFormatPr baseColWidth="10" defaultRowHeight="12.75" x14ac:dyDescent="0.2"/>
  <cols>
    <col min="1" max="3" width="11.42578125" style="20"/>
    <col min="4" max="4" width="11.42578125" style="20" hidden="1" customWidth="1"/>
    <col min="5" max="5" width="3.7109375" style="20" customWidth="1"/>
    <col min="6" max="7" width="11.42578125" style="20"/>
    <col min="8" max="8" width="12.42578125" style="20" bestFit="1" customWidth="1"/>
    <col min="9" max="9" width="3.7109375" style="20" customWidth="1"/>
    <col min="10" max="11" width="13.5703125" style="93" customWidth="1"/>
    <col min="12" max="16384" width="11.42578125" style="20"/>
  </cols>
  <sheetData>
    <row r="1" spans="1:11" x14ac:dyDescent="0.2">
      <c r="A1" s="132" t="s">
        <v>9</v>
      </c>
      <c r="B1" s="133"/>
      <c r="C1" s="134"/>
      <c r="D1" s="27"/>
      <c r="E1" s="35"/>
      <c r="F1" s="132" t="s">
        <v>19</v>
      </c>
      <c r="G1" s="134"/>
      <c r="H1" s="23"/>
      <c r="J1" s="127" t="s">
        <v>25</v>
      </c>
      <c r="K1" s="128"/>
    </row>
    <row r="2" spans="1:11" ht="27.75" thickBot="1" x14ac:dyDescent="0.35">
      <c r="A2" s="1" t="s">
        <v>0</v>
      </c>
      <c r="B2" s="25" t="s">
        <v>6</v>
      </c>
      <c r="C2" s="26" t="s">
        <v>7</v>
      </c>
      <c r="D2" s="52">
        <v>0</v>
      </c>
      <c r="E2" s="52"/>
      <c r="F2" s="2" t="s">
        <v>4</v>
      </c>
      <c r="G2" s="30" t="s">
        <v>8</v>
      </c>
      <c r="H2" s="23"/>
      <c r="J2" s="82" t="s">
        <v>34</v>
      </c>
      <c r="K2" s="83" t="s">
        <v>26</v>
      </c>
    </row>
    <row r="3" spans="1:11" x14ac:dyDescent="0.2">
      <c r="A3" s="1">
        <v>100</v>
      </c>
      <c r="B3" s="12">
        <f t="shared" ref="B3:B34" si="0">1400/A3-10</f>
        <v>4</v>
      </c>
      <c r="C3" s="13">
        <f t="shared" ref="C3:C34" si="1">1600/A3-10</f>
        <v>6</v>
      </c>
      <c r="D3" s="52" t="e">
        <f>SMALL(('Gas Planner'!A3,'Gas Planner'!A5,'Gas Planner'!A7,'Gas Planner'!D3,'Gas Planner'!D5,'Gas Planner'!D7,'Gas Planner'!G3,'Gas Planner'!G5,'Gas Planner'!G7),1)</f>
        <v>#NUM!</v>
      </c>
      <c r="E3" s="52"/>
      <c r="F3" s="31">
        <v>0.51</v>
      </c>
      <c r="G3" s="32">
        <v>0.14000000000000001</v>
      </c>
      <c r="H3" s="23"/>
      <c r="J3" s="84">
        <v>0</v>
      </c>
      <c r="K3" s="85">
        <v>1.3</v>
      </c>
    </row>
    <row r="4" spans="1:11" x14ac:dyDescent="0.2">
      <c r="A4" s="1">
        <v>99</v>
      </c>
      <c r="B4" s="12">
        <f t="shared" si="0"/>
        <v>4.1414141414141419</v>
      </c>
      <c r="C4" s="13">
        <f t="shared" si="1"/>
        <v>6.1616161616161627</v>
      </c>
      <c r="D4" s="52" t="e">
        <f>SMALL(('Gas Planner'!A3,'Gas Planner'!A5,'Gas Planner'!A7,'Gas Planner'!D3,'Gas Planner'!D5,'Gas Planner'!D7,'Gas Planner'!G3,'Gas Planner'!G5,'Gas Planner'!G7),2)</f>
        <v>#NUM!</v>
      </c>
      <c r="E4" s="52"/>
      <c r="F4" s="16">
        <v>0.63</v>
      </c>
      <c r="G4" s="13">
        <v>0.17</v>
      </c>
      <c r="H4" s="23"/>
      <c r="J4" s="86">
        <v>3.1</v>
      </c>
      <c r="K4" s="87">
        <v>1.5</v>
      </c>
    </row>
    <row r="5" spans="1:11" x14ac:dyDescent="0.2">
      <c r="A5" s="1">
        <v>98</v>
      </c>
      <c r="B5" s="12">
        <f t="shared" si="0"/>
        <v>4.2857142857142865</v>
      </c>
      <c r="C5" s="13">
        <f t="shared" si="1"/>
        <v>6.3265306122448983</v>
      </c>
      <c r="D5" s="52" t="e">
        <f>SMALL(('Gas Planner'!A3,'Gas Planner'!A5,'Gas Planner'!A7,'Gas Planner'!D3,'Gas Planner'!D5,'Gas Planner'!D7,'Gas Planner'!G3,'Gas Planner'!G5,'Gas Planner'!G7),3)</f>
        <v>#NUM!</v>
      </c>
      <c r="E5" s="52"/>
      <c r="F5" s="16">
        <v>0.71</v>
      </c>
      <c r="G5" s="13">
        <v>0.22</v>
      </c>
      <c r="H5" s="23"/>
      <c r="J5" s="86">
        <v>5.0999999999999996</v>
      </c>
      <c r="K5" s="87">
        <v>1.6</v>
      </c>
    </row>
    <row r="6" spans="1:11" x14ac:dyDescent="0.2">
      <c r="A6" s="1">
        <v>97</v>
      </c>
      <c r="B6" s="12">
        <f t="shared" si="0"/>
        <v>4.4329896907216497</v>
      </c>
      <c r="C6" s="13">
        <f t="shared" si="1"/>
        <v>6.4948453608247405</v>
      </c>
      <c r="D6" s="52" t="e">
        <f>SMALL(('Gas Planner'!A3,'Gas Planner'!A5,'Gas Planner'!A7,'Gas Planner'!D3,'Gas Planner'!D5,'Gas Planner'!D7,'Gas Planner'!G3,'Gas Planner'!G5,'Gas Planner'!G7),4)</f>
        <v>#NUM!</v>
      </c>
      <c r="E6" s="52"/>
      <c r="F6" s="16">
        <v>0.81</v>
      </c>
      <c r="G6" s="13">
        <v>0.28000000000000003</v>
      </c>
      <c r="H6" s="23"/>
      <c r="J6" s="86">
        <v>6.1</v>
      </c>
      <c r="K6" s="87">
        <v>1.9</v>
      </c>
    </row>
    <row r="7" spans="1:11" x14ac:dyDescent="0.2">
      <c r="A7" s="1">
        <v>96</v>
      </c>
      <c r="B7" s="12">
        <f t="shared" si="0"/>
        <v>4.5833333333333339</v>
      </c>
      <c r="C7" s="13">
        <f t="shared" si="1"/>
        <v>6.6666666666666679</v>
      </c>
      <c r="D7" s="52" t="e">
        <f>SMALL(('Gas Planner'!A3,'Gas Planner'!A5,'Gas Planner'!A7,'Gas Planner'!D3,'Gas Planner'!D5,'Gas Planner'!D7,'Gas Planner'!G3,'Gas Planner'!G5,'Gas Planner'!G7),5)</f>
        <v>#NUM!</v>
      </c>
      <c r="E7" s="52"/>
      <c r="F7" s="16">
        <v>0.92</v>
      </c>
      <c r="G7" s="13">
        <v>0.33</v>
      </c>
      <c r="H7" s="28"/>
      <c r="J7" s="86">
        <v>9.1</v>
      </c>
      <c r="K7" s="87">
        <v>2.2000000000000002</v>
      </c>
    </row>
    <row r="8" spans="1:11" x14ac:dyDescent="0.2">
      <c r="A8" s="1">
        <v>95</v>
      </c>
      <c r="B8" s="12">
        <f t="shared" si="0"/>
        <v>4.7368421052631575</v>
      </c>
      <c r="C8" s="13">
        <f t="shared" si="1"/>
        <v>6.8421052631578938</v>
      </c>
      <c r="D8" s="52" t="e">
        <f>SMALL(('Gas Planner'!A3,'Gas Planner'!A5,'Gas Planner'!A7,'Gas Planner'!D3,'Gas Planner'!D5,'Gas Planner'!D7,'Gas Planner'!G3,'Gas Planner'!G5,'Gas Planner'!G7),6)</f>
        <v>#NUM!</v>
      </c>
      <c r="E8" s="52"/>
      <c r="F8" s="16">
        <v>1.01</v>
      </c>
      <c r="G8" s="13">
        <v>0.42</v>
      </c>
      <c r="H8" s="23"/>
      <c r="J8" s="86">
        <v>12.1</v>
      </c>
      <c r="K8" s="87">
        <v>2.5</v>
      </c>
    </row>
    <row r="9" spans="1:11" x14ac:dyDescent="0.2">
      <c r="A9" s="1">
        <v>94</v>
      </c>
      <c r="B9" s="12">
        <f t="shared" si="0"/>
        <v>4.8936170212765955</v>
      </c>
      <c r="C9" s="13">
        <f t="shared" si="1"/>
        <v>7.0212765957446805</v>
      </c>
      <c r="D9" s="52" t="e">
        <f>SMALL(('Gas Planner'!A3,'Gas Planner'!A5,'Gas Planner'!A7,'Gas Planner'!D3,'Gas Planner'!D5,'Gas Planner'!D7,'Gas Planner'!G3,'Gas Planner'!G5,'Gas Planner'!G7),7)</f>
        <v>#NUM!</v>
      </c>
      <c r="E9" s="52"/>
      <c r="F9" s="16">
        <v>1.1200000000000001</v>
      </c>
      <c r="G9" s="13">
        <v>0.48</v>
      </c>
      <c r="H9" s="23"/>
      <c r="J9" s="86">
        <v>15.1</v>
      </c>
      <c r="K9" s="87">
        <v>2.8</v>
      </c>
    </row>
    <row r="10" spans="1:11" x14ac:dyDescent="0.2">
      <c r="A10" s="1">
        <v>93</v>
      </c>
      <c r="B10" s="12">
        <f t="shared" si="0"/>
        <v>5.0537634408602159</v>
      </c>
      <c r="C10" s="13">
        <f t="shared" si="1"/>
        <v>7.2043010752688161</v>
      </c>
      <c r="D10" s="52" t="e">
        <f>SMALL(('Gas Planner'!A3,'Gas Planner'!A5,'Gas Planner'!A7,'Gas Planner'!D3,'Gas Planner'!D5,'Gas Planner'!D7,'Gas Planner'!G3,'Gas Planner'!G5,'Gas Planner'!G7),8)</f>
        <v>#NUM!</v>
      </c>
      <c r="E10" s="52"/>
      <c r="F10" s="16">
        <v>1.22</v>
      </c>
      <c r="G10" s="13">
        <v>0.55000000000000004</v>
      </c>
      <c r="H10" s="23"/>
      <c r="J10" s="86">
        <v>18.100000000000001</v>
      </c>
      <c r="K10" s="87">
        <v>3.1</v>
      </c>
    </row>
    <row r="11" spans="1:11" x14ac:dyDescent="0.2">
      <c r="A11" s="1">
        <v>92</v>
      </c>
      <c r="B11" s="12">
        <f t="shared" si="0"/>
        <v>5.2173913043478262</v>
      </c>
      <c r="C11" s="13">
        <f t="shared" si="1"/>
        <v>7.391304347826086</v>
      </c>
      <c r="D11" s="52" t="e">
        <f>SMALL(('Gas Planner'!A3,'Gas Planner'!A5,'Gas Planner'!A7,'Gas Planner'!D3,'Gas Planner'!D5,'Gas Planner'!D7,'Gas Planner'!G3,'Gas Planner'!G5,'Gas Planner'!G7),9)</f>
        <v>#NUM!</v>
      </c>
      <c r="E11" s="52"/>
      <c r="F11" s="16">
        <v>1.32</v>
      </c>
      <c r="G11" s="13">
        <v>0.67</v>
      </c>
      <c r="H11" s="23"/>
      <c r="J11" s="86">
        <v>21.1</v>
      </c>
      <c r="K11" s="87">
        <v>3.4</v>
      </c>
    </row>
    <row r="12" spans="1:11" x14ac:dyDescent="0.2">
      <c r="A12" s="1">
        <v>91</v>
      </c>
      <c r="B12" s="12">
        <f t="shared" si="0"/>
        <v>5.384615384615385</v>
      </c>
      <c r="C12" s="13">
        <f t="shared" si="1"/>
        <v>7.5824175824175839</v>
      </c>
      <c r="D12" s="52"/>
      <c r="E12" s="52"/>
      <c r="F12" s="16">
        <v>1.41</v>
      </c>
      <c r="G12" s="13">
        <v>0.83</v>
      </c>
      <c r="H12" s="23"/>
      <c r="J12" s="86">
        <v>24.1</v>
      </c>
      <c r="K12" s="87">
        <v>3.7</v>
      </c>
    </row>
    <row r="13" spans="1:11" x14ac:dyDescent="0.2">
      <c r="A13" s="1">
        <v>90</v>
      </c>
      <c r="B13" s="12">
        <f t="shared" si="0"/>
        <v>5.5555555555555554</v>
      </c>
      <c r="C13" s="13">
        <f t="shared" si="1"/>
        <v>7.7777777777777786</v>
      </c>
      <c r="D13" s="27"/>
      <c r="E13" s="27"/>
      <c r="F13" s="16">
        <v>1.51</v>
      </c>
      <c r="G13" s="13">
        <v>2.2200000000000002</v>
      </c>
      <c r="H13" s="23"/>
      <c r="J13" s="86">
        <v>27.1</v>
      </c>
      <c r="K13" s="87">
        <v>4</v>
      </c>
    </row>
    <row r="14" spans="1:11" ht="13.5" thickBot="1" x14ac:dyDescent="0.25">
      <c r="A14" s="1">
        <v>89</v>
      </c>
      <c r="B14" s="12">
        <f t="shared" si="0"/>
        <v>5.7303370786516847</v>
      </c>
      <c r="C14" s="13">
        <f t="shared" si="1"/>
        <v>7.9775280898876417</v>
      </c>
      <c r="D14" s="27"/>
      <c r="E14" s="27"/>
      <c r="F14" s="33">
        <v>1.61</v>
      </c>
      <c r="G14" s="34">
        <v>2.2200000000000002</v>
      </c>
      <c r="H14" s="23"/>
      <c r="J14" s="86">
        <v>30.1</v>
      </c>
      <c r="K14" s="88">
        <v>4.3</v>
      </c>
    </row>
    <row r="15" spans="1:11" ht="13.5" thickBot="1" x14ac:dyDescent="0.25">
      <c r="A15" s="1">
        <v>88</v>
      </c>
      <c r="B15" s="12">
        <f t="shared" si="0"/>
        <v>5.9090909090909083</v>
      </c>
      <c r="C15" s="13">
        <f t="shared" si="1"/>
        <v>8.1818181818181834</v>
      </c>
      <c r="D15" s="23"/>
      <c r="E15" s="23"/>
      <c r="F15" s="54"/>
      <c r="G15" s="54"/>
      <c r="H15" s="55"/>
      <c r="J15" s="86">
        <v>33.1</v>
      </c>
      <c r="K15" s="87">
        <v>4.5999999999999996</v>
      </c>
    </row>
    <row r="16" spans="1:11" ht="13.5" thickBot="1" x14ac:dyDescent="0.25">
      <c r="A16" s="1">
        <v>87</v>
      </c>
      <c r="B16" s="12">
        <f t="shared" si="0"/>
        <v>6.0919540229885065</v>
      </c>
      <c r="C16" s="13">
        <f t="shared" si="1"/>
        <v>8.3908045977011483</v>
      </c>
      <c r="D16" s="23"/>
      <c r="E16" s="27"/>
      <c r="F16" s="135" t="s">
        <v>20</v>
      </c>
      <c r="G16" s="136"/>
      <c r="H16" s="137"/>
      <c r="I16" s="23"/>
      <c r="J16" s="86">
        <v>36.1</v>
      </c>
      <c r="K16" s="89">
        <v>4.9000000000000004</v>
      </c>
    </row>
    <row r="17" spans="1:12" ht="13.5" thickBot="1" x14ac:dyDescent="0.25">
      <c r="A17" s="1">
        <v>86</v>
      </c>
      <c r="B17" s="12">
        <f t="shared" si="0"/>
        <v>6.279069767441861</v>
      </c>
      <c r="C17" s="13">
        <f t="shared" si="1"/>
        <v>8.6046511627906987</v>
      </c>
      <c r="D17" s="23"/>
      <c r="E17" s="27"/>
      <c r="F17" s="57" t="s">
        <v>2</v>
      </c>
      <c r="G17" s="58" t="s">
        <v>22</v>
      </c>
      <c r="H17" s="59" t="s">
        <v>2</v>
      </c>
      <c r="I17" s="23"/>
      <c r="J17" s="86">
        <v>39.1</v>
      </c>
      <c r="K17" s="87">
        <v>5.2</v>
      </c>
    </row>
    <row r="18" spans="1:12" ht="13.5" thickBot="1" x14ac:dyDescent="0.25">
      <c r="A18" s="1">
        <v>85</v>
      </c>
      <c r="B18" s="12">
        <f t="shared" si="0"/>
        <v>6.470588235294116</v>
      </c>
      <c r="C18" s="13">
        <f t="shared" si="1"/>
        <v>8.8235294117647065</v>
      </c>
      <c r="D18" s="23"/>
      <c r="E18" s="27"/>
      <c r="F18" s="94"/>
      <c r="G18" s="95"/>
      <c r="H18" s="61">
        <f>ROUND(F18*EXP(G18/-130),2)</f>
        <v>0</v>
      </c>
      <c r="I18" s="23"/>
      <c r="J18" s="86">
        <v>42.1</v>
      </c>
      <c r="K18" s="87">
        <v>5.5</v>
      </c>
    </row>
    <row r="19" spans="1:12" ht="13.5" thickBot="1" x14ac:dyDescent="0.25">
      <c r="A19" s="1">
        <v>84</v>
      </c>
      <c r="B19" s="12">
        <f t="shared" si="0"/>
        <v>6.6666666666666679</v>
      </c>
      <c r="C19" s="13">
        <f t="shared" si="1"/>
        <v>9.0476190476190474</v>
      </c>
      <c r="D19" s="23"/>
      <c r="E19" s="23"/>
      <c r="F19" s="54"/>
      <c r="G19" s="54"/>
      <c r="H19" s="54"/>
      <c r="J19" s="86">
        <v>45.1</v>
      </c>
      <c r="K19" s="87">
        <v>5.8</v>
      </c>
    </row>
    <row r="20" spans="1:12" ht="13.5" thickBot="1" x14ac:dyDescent="0.25">
      <c r="A20" s="1">
        <v>83</v>
      </c>
      <c r="B20" s="12">
        <f t="shared" si="0"/>
        <v>6.8674698795180724</v>
      </c>
      <c r="C20" s="13">
        <f t="shared" si="1"/>
        <v>9.2771084337349414</v>
      </c>
      <c r="D20" s="23"/>
      <c r="E20" s="27"/>
      <c r="F20" s="129" t="s">
        <v>21</v>
      </c>
      <c r="G20" s="130"/>
      <c r="H20" s="131"/>
      <c r="I20" s="23"/>
      <c r="J20" s="86">
        <v>48.1</v>
      </c>
      <c r="K20" s="87">
        <v>6</v>
      </c>
    </row>
    <row r="21" spans="1:12" ht="13.5" customHeight="1" thickBot="1" x14ac:dyDescent="0.35">
      <c r="A21" s="1">
        <v>82</v>
      </c>
      <c r="B21" s="12">
        <f t="shared" si="0"/>
        <v>7.073170731707318</v>
      </c>
      <c r="C21" s="13">
        <f t="shared" si="1"/>
        <v>9.5121951219512191</v>
      </c>
      <c r="D21" s="23"/>
      <c r="E21" s="27"/>
      <c r="F21" s="57" t="s">
        <v>23</v>
      </c>
      <c r="G21" s="58" t="s">
        <v>24</v>
      </c>
      <c r="H21" s="59" t="s">
        <v>2</v>
      </c>
      <c r="I21" s="23"/>
      <c r="J21" s="90">
        <v>50.1</v>
      </c>
      <c r="K21" s="91">
        <v>6.4</v>
      </c>
    </row>
    <row r="22" spans="1:12" ht="13.5" thickBot="1" x14ac:dyDescent="0.25">
      <c r="A22" s="1">
        <v>81</v>
      </c>
      <c r="B22" s="12">
        <f t="shared" si="0"/>
        <v>7.2839506172839492</v>
      </c>
      <c r="C22" s="13">
        <f t="shared" si="1"/>
        <v>9.7530864197530853</v>
      </c>
      <c r="D22" s="23"/>
      <c r="E22" s="27"/>
      <c r="F22" s="94"/>
      <c r="G22" s="95"/>
      <c r="H22" s="61">
        <f>IF(F22&gt;0.4,ROUND(1/IF(F22&gt;=1.6,45,IF(F22&gt;=1.1,120+(1.5-F22)*300,IF(F22&gt;=0.9,240+(1.1-F22)*600,IF(F22&gt;=0.8,360+(0.9-F22)*900,IF(F22&gt;=0.7,450+(0.8-F22)*1200,IF(F22&gt;=0.5,570+(0.7-F22)*1500,9999))))))*100*MAX(G22,1),2),0)</f>
        <v>0</v>
      </c>
      <c r="I22" s="23"/>
      <c r="J22" s="86">
        <v>54.1</v>
      </c>
      <c r="K22" s="87">
        <v>6.7</v>
      </c>
    </row>
    <row r="23" spans="1:12" ht="13.5" thickBot="1" x14ac:dyDescent="0.25">
      <c r="A23" s="1">
        <v>80</v>
      </c>
      <c r="B23" s="12">
        <f t="shared" si="0"/>
        <v>7.5</v>
      </c>
      <c r="C23" s="13">
        <f t="shared" si="1"/>
        <v>10</v>
      </c>
      <c r="D23" s="23"/>
      <c r="E23" s="23"/>
      <c r="F23" s="60"/>
      <c r="G23" s="60"/>
      <c r="H23" s="24"/>
      <c r="I23" s="65"/>
      <c r="J23" s="86">
        <v>57.1</v>
      </c>
      <c r="K23" s="87">
        <v>7</v>
      </c>
      <c r="L23" s="23"/>
    </row>
    <row r="24" spans="1:12" ht="13.5" thickBot="1" x14ac:dyDescent="0.25">
      <c r="A24" s="1">
        <v>79</v>
      </c>
      <c r="B24" s="12">
        <f t="shared" si="0"/>
        <v>7.7215189873417707</v>
      </c>
      <c r="C24" s="13">
        <f t="shared" si="1"/>
        <v>10.253164556962027</v>
      </c>
      <c r="D24" s="23"/>
      <c r="E24" s="23"/>
      <c r="F24" s="129" t="s">
        <v>41</v>
      </c>
      <c r="G24" s="130"/>
      <c r="H24" s="131"/>
      <c r="J24" s="86">
        <v>60.1</v>
      </c>
      <c r="K24" s="87">
        <v>7.5</v>
      </c>
    </row>
    <row r="25" spans="1:12" ht="13.5" thickBot="1" x14ac:dyDescent="0.25">
      <c r="A25" s="1">
        <v>78</v>
      </c>
      <c r="B25" s="12">
        <f t="shared" si="0"/>
        <v>7.9487179487179489</v>
      </c>
      <c r="C25" s="13">
        <f t="shared" si="1"/>
        <v>10.512820512820515</v>
      </c>
      <c r="D25" s="23"/>
      <c r="E25" s="23"/>
      <c r="F25" s="57" t="s">
        <v>10</v>
      </c>
      <c r="G25" s="58"/>
      <c r="H25" s="59" t="s">
        <v>26</v>
      </c>
      <c r="J25" s="86">
        <v>65.099999999999994</v>
      </c>
      <c r="K25" s="87">
        <v>8</v>
      </c>
    </row>
    <row r="26" spans="1:12" ht="13.5" thickBot="1" x14ac:dyDescent="0.25">
      <c r="A26" s="1">
        <v>77</v>
      </c>
      <c r="B26" s="12">
        <f t="shared" si="0"/>
        <v>8.1818181818181834</v>
      </c>
      <c r="C26" s="13">
        <f t="shared" si="1"/>
        <v>10.779220779220779</v>
      </c>
      <c r="D26" s="23"/>
      <c r="E26" s="23"/>
      <c r="F26" s="94"/>
      <c r="G26" s="56"/>
      <c r="H26" s="61">
        <f>IF(F26&gt;0,ROUND(F26/10+1,2),1)</f>
        <v>1</v>
      </c>
      <c r="J26" s="86">
        <v>70.099999999999994</v>
      </c>
      <c r="K26" s="87">
        <v>8.5</v>
      </c>
    </row>
    <row r="27" spans="1:12" x14ac:dyDescent="0.2">
      <c r="A27" s="1">
        <v>76</v>
      </c>
      <c r="B27" s="12">
        <f t="shared" si="0"/>
        <v>8.4210526315789487</v>
      </c>
      <c r="C27" s="13">
        <f t="shared" si="1"/>
        <v>11.05263157894737</v>
      </c>
      <c r="D27" s="23"/>
      <c r="E27" s="23"/>
      <c r="F27" s="21"/>
      <c r="G27" s="21"/>
      <c r="J27" s="86">
        <v>75.099999999999994</v>
      </c>
      <c r="K27" s="87">
        <v>9</v>
      </c>
    </row>
    <row r="28" spans="1:12" x14ac:dyDescent="0.2">
      <c r="A28" s="1">
        <v>75</v>
      </c>
      <c r="B28" s="12">
        <f t="shared" si="0"/>
        <v>8.6666666666666679</v>
      </c>
      <c r="C28" s="13">
        <f t="shared" si="1"/>
        <v>11.333333333333332</v>
      </c>
      <c r="D28" s="23"/>
      <c r="E28" s="23"/>
      <c r="J28" s="86">
        <v>80.099999999999994</v>
      </c>
      <c r="K28" s="87">
        <v>9.5</v>
      </c>
    </row>
    <row r="29" spans="1:12" x14ac:dyDescent="0.2">
      <c r="A29" s="1">
        <v>74</v>
      </c>
      <c r="B29" s="12">
        <f t="shared" si="0"/>
        <v>8.9189189189189193</v>
      </c>
      <c r="C29" s="13">
        <f t="shared" si="1"/>
        <v>11.621621621621621</v>
      </c>
      <c r="D29" s="23"/>
      <c r="E29" s="23"/>
      <c r="J29" s="86">
        <v>85.1</v>
      </c>
      <c r="K29" s="87">
        <v>10</v>
      </c>
    </row>
    <row r="30" spans="1:12" x14ac:dyDescent="0.2">
      <c r="A30" s="1">
        <v>73</v>
      </c>
      <c r="B30" s="12">
        <f t="shared" si="0"/>
        <v>9.1780821917808204</v>
      </c>
      <c r="C30" s="13">
        <f t="shared" si="1"/>
        <v>11.917808219178081</v>
      </c>
      <c r="D30" s="23"/>
      <c r="E30" s="23"/>
      <c r="J30" s="86">
        <v>90.1</v>
      </c>
      <c r="K30" s="87">
        <v>10.5</v>
      </c>
    </row>
    <row r="31" spans="1:12" x14ac:dyDescent="0.2">
      <c r="A31" s="1">
        <v>72</v>
      </c>
      <c r="B31" s="12">
        <f t="shared" si="0"/>
        <v>9.4444444444444429</v>
      </c>
      <c r="C31" s="13">
        <f t="shared" si="1"/>
        <v>12.222222222222221</v>
      </c>
      <c r="D31" s="23"/>
      <c r="E31" s="23"/>
      <c r="J31" s="86">
        <v>95.1</v>
      </c>
      <c r="K31" s="87">
        <v>11</v>
      </c>
    </row>
    <row r="32" spans="1:12" x14ac:dyDescent="0.2">
      <c r="A32" s="1">
        <v>71</v>
      </c>
      <c r="B32" s="12">
        <f t="shared" si="0"/>
        <v>9.7183098591549282</v>
      </c>
      <c r="C32" s="13">
        <f t="shared" si="1"/>
        <v>12.535211267605632</v>
      </c>
      <c r="D32" s="23"/>
      <c r="E32" s="23"/>
      <c r="J32" s="86">
        <v>100.1</v>
      </c>
      <c r="K32" s="87">
        <v>11.5</v>
      </c>
    </row>
    <row r="33" spans="1:11" x14ac:dyDescent="0.2">
      <c r="A33" s="1">
        <v>70</v>
      </c>
      <c r="B33" s="12">
        <f t="shared" si="0"/>
        <v>10</v>
      </c>
      <c r="C33" s="13">
        <f t="shared" si="1"/>
        <v>12.857142857142858</v>
      </c>
      <c r="D33" s="23"/>
      <c r="E33" s="23"/>
      <c r="J33" s="86">
        <v>105.1</v>
      </c>
      <c r="K33" s="87">
        <v>12</v>
      </c>
    </row>
    <row r="34" spans="1:11" x14ac:dyDescent="0.2">
      <c r="A34" s="1">
        <v>69</v>
      </c>
      <c r="B34" s="12">
        <f t="shared" si="0"/>
        <v>10.289855072463769</v>
      </c>
      <c r="C34" s="13">
        <f t="shared" si="1"/>
        <v>13.188405797101449</v>
      </c>
      <c r="D34" s="23"/>
      <c r="E34" s="23"/>
      <c r="J34" s="86">
        <v>110.1</v>
      </c>
      <c r="K34" s="87">
        <v>12.5</v>
      </c>
    </row>
    <row r="35" spans="1:11" x14ac:dyDescent="0.2">
      <c r="A35" s="1">
        <v>68</v>
      </c>
      <c r="B35" s="12">
        <f t="shared" ref="B35:B66" si="2">1400/A35-10</f>
        <v>10.588235294117649</v>
      </c>
      <c r="C35" s="13">
        <f t="shared" ref="C35:C66" si="3">1600/A35-10</f>
        <v>13.529411764705884</v>
      </c>
      <c r="D35" s="23"/>
      <c r="E35" s="23"/>
      <c r="J35" s="86">
        <v>115.1</v>
      </c>
      <c r="K35" s="87">
        <v>13</v>
      </c>
    </row>
    <row r="36" spans="1:11" x14ac:dyDescent="0.2">
      <c r="A36" s="1">
        <v>67</v>
      </c>
      <c r="B36" s="12">
        <f t="shared" si="2"/>
        <v>10.895522388059703</v>
      </c>
      <c r="C36" s="13">
        <f t="shared" si="3"/>
        <v>13.880597014925375</v>
      </c>
      <c r="D36" s="23"/>
      <c r="E36" s="23"/>
      <c r="J36" s="86">
        <v>120.1</v>
      </c>
      <c r="K36" s="87">
        <v>13.5</v>
      </c>
    </row>
    <row r="37" spans="1:11" x14ac:dyDescent="0.2">
      <c r="A37" s="1">
        <v>66</v>
      </c>
      <c r="B37" s="12">
        <f t="shared" si="2"/>
        <v>11.212121212121211</v>
      </c>
      <c r="C37" s="13">
        <f t="shared" si="3"/>
        <v>14.242424242424242</v>
      </c>
      <c r="D37" s="23"/>
      <c r="E37" s="23"/>
      <c r="J37" s="86">
        <v>125.1</v>
      </c>
      <c r="K37" s="87">
        <v>14</v>
      </c>
    </row>
    <row r="38" spans="1:11" x14ac:dyDescent="0.2">
      <c r="A38" s="1">
        <v>65</v>
      </c>
      <c r="B38" s="12">
        <f t="shared" si="2"/>
        <v>11.53846153846154</v>
      </c>
      <c r="C38" s="13">
        <f t="shared" si="3"/>
        <v>14.615384615384617</v>
      </c>
      <c r="D38" s="23"/>
      <c r="E38" s="23"/>
      <c r="J38" s="86">
        <v>130.1</v>
      </c>
      <c r="K38" s="87">
        <v>14.5</v>
      </c>
    </row>
    <row r="39" spans="1:11" x14ac:dyDescent="0.2">
      <c r="A39" s="1">
        <v>64</v>
      </c>
      <c r="B39" s="12">
        <f t="shared" si="2"/>
        <v>11.875</v>
      </c>
      <c r="C39" s="13">
        <f t="shared" si="3"/>
        <v>15</v>
      </c>
      <c r="D39" s="23"/>
      <c r="E39" s="23"/>
      <c r="J39" s="86">
        <v>135.1</v>
      </c>
      <c r="K39" s="87">
        <v>15</v>
      </c>
    </row>
    <row r="40" spans="1:11" x14ac:dyDescent="0.2">
      <c r="A40" s="1">
        <v>63</v>
      </c>
      <c r="B40" s="12">
        <f t="shared" si="2"/>
        <v>12.222222222222221</v>
      </c>
      <c r="C40" s="13">
        <f t="shared" si="3"/>
        <v>15.396825396825395</v>
      </c>
      <c r="D40" s="23"/>
      <c r="E40" s="23"/>
      <c r="J40" s="86">
        <v>140.1</v>
      </c>
      <c r="K40" s="87">
        <v>15.5</v>
      </c>
    </row>
    <row r="41" spans="1:11" ht="13.5" thickBot="1" x14ac:dyDescent="0.25">
      <c r="A41" s="1">
        <v>62</v>
      </c>
      <c r="B41" s="12">
        <f t="shared" si="2"/>
        <v>12.580645161290324</v>
      </c>
      <c r="C41" s="13">
        <f t="shared" si="3"/>
        <v>15.806451612903224</v>
      </c>
      <c r="D41" s="23"/>
      <c r="E41" s="23"/>
      <c r="J41" s="86">
        <v>145.1</v>
      </c>
      <c r="K41" s="87">
        <v>16</v>
      </c>
    </row>
    <row r="42" spans="1:11" ht="13.5" thickBot="1" x14ac:dyDescent="0.25">
      <c r="A42" s="1">
        <v>61</v>
      </c>
      <c r="B42" s="12">
        <f t="shared" si="2"/>
        <v>12.950819672131146</v>
      </c>
      <c r="C42" s="13">
        <f t="shared" si="3"/>
        <v>16.229508196721312</v>
      </c>
      <c r="D42" s="23"/>
      <c r="E42" s="23"/>
      <c r="J42" s="125" t="s">
        <v>31</v>
      </c>
      <c r="K42" s="126"/>
    </row>
    <row r="43" spans="1:11" x14ac:dyDescent="0.2">
      <c r="A43" s="1">
        <v>60</v>
      </c>
      <c r="B43" s="12">
        <f t="shared" si="2"/>
        <v>13.333333333333332</v>
      </c>
      <c r="C43" s="13">
        <f t="shared" si="3"/>
        <v>16.666666666666668</v>
      </c>
      <c r="D43" s="23"/>
      <c r="E43" s="23"/>
      <c r="J43" s="92"/>
      <c r="K43" s="92"/>
    </row>
    <row r="44" spans="1:11" x14ac:dyDescent="0.2">
      <c r="A44" s="1">
        <v>59</v>
      </c>
      <c r="B44" s="12">
        <f t="shared" si="2"/>
        <v>13.728813559322035</v>
      </c>
      <c r="C44" s="13">
        <f t="shared" si="3"/>
        <v>17.118644067796609</v>
      </c>
      <c r="D44" s="23"/>
      <c r="E44" s="23"/>
    </row>
    <row r="45" spans="1:11" x14ac:dyDescent="0.2">
      <c r="A45" s="1">
        <v>58</v>
      </c>
      <c r="B45" s="12">
        <f t="shared" si="2"/>
        <v>14.137931034482758</v>
      </c>
      <c r="C45" s="13">
        <f t="shared" si="3"/>
        <v>17.586206896551722</v>
      </c>
      <c r="D45" s="23"/>
      <c r="E45" s="23"/>
    </row>
    <row r="46" spans="1:11" x14ac:dyDescent="0.2">
      <c r="A46" s="1">
        <v>57</v>
      </c>
      <c r="B46" s="12">
        <f t="shared" si="2"/>
        <v>14.561403508771932</v>
      </c>
      <c r="C46" s="13">
        <f t="shared" si="3"/>
        <v>18.07017543859649</v>
      </c>
      <c r="D46" s="23"/>
      <c r="E46" s="23"/>
    </row>
    <row r="47" spans="1:11" x14ac:dyDescent="0.2">
      <c r="A47" s="1">
        <v>56</v>
      </c>
      <c r="B47" s="12">
        <f t="shared" si="2"/>
        <v>15</v>
      </c>
      <c r="C47" s="13">
        <f t="shared" si="3"/>
        <v>18.571428571428573</v>
      </c>
      <c r="D47" s="23"/>
      <c r="E47" s="23"/>
    </row>
    <row r="48" spans="1:11" x14ac:dyDescent="0.2">
      <c r="A48" s="1">
        <v>55</v>
      </c>
      <c r="B48" s="12">
        <f t="shared" si="2"/>
        <v>15.454545454545453</v>
      </c>
      <c r="C48" s="13">
        <f t="shared" si="3"/>
        <v>19.09090909090909</v>
      </c>
      <c r="D48" s="23"/>
      <c r="E48" s="23"/>
    </row>
    <row r="49" spans="1:5" x14ac:dyDescent="0.2">
      <c r="A49" s="1">
        <v>54</v>
      </c>
      <c r="B49" s="12">
        <f t="shared" si="2"/>
        <v>15.925925925925927</v>
      </c>
      <c r="C49" s="13">
        <f t="shared" si="3"/>
        <v>19.62962962962963</v>
      </c>
      <c r="D49" s="23"/>
      <c r="E49" s="23"/>
    </row>
    <row r="50" spans="1:5" x14ac:dyDescent="0.2">
      <c r="A50" s="1">
        <v>53</v>
      </c>
      <c r="B50" s="12">
        <f t="shared" si="2"/>
        <v>16.415094339622641</v>
      </c>
      <c r="C50" s="13">
        <f t="shared" si="3"/>
        <v>20.188679245283019</v>
      </c>
      <c r="D50" s="23"/>
      <c r="E50" s="23"/>
    </row>
    <row r="51" spans="1:5" x14ac:dyDescent="0.2">
      <c r="A51" s="1">
        <v>52</v>
      </c>
      <c r="B51" s="12">
        <f t="shared" si="2"/>
        <v>16.923076923076923</v>
      </c>
      <c r="C51" s="13">
        <f t="shared" si="3"/>
        <v>20.76923076923077</v>
      </c>
      <c r="D51" s="23"/>
      <c r="E51" s="23"/>
    </row>
    <row r="52" spans="1:5" x14ac:dyDescent="0.2">
      <c r="A52" s="1">
        <v>51</v>
      </c>
      <c r="B52" s="12">
        <f t="shared" si="2"/>
        <v>17.450980392156861</v>
      </c>
      <c r="C52" s="13">
        <f t="shared" si="3"/>
        <v>21.372549019607842</v>
      </c>
      <c r="D52" s="23"/>
      <c r="E52" s="23"/>
    </row>
    <row r="53" spans="1:5" x14ac:dyDescent="0.2">
      <c r="A53" s="1">
        <v>50</v>
      </c>
      <c r="B53" s="12">
        <f t="shared" si="2"/>
        <v>18</v>
      </c>
      <c r="C53" s="13">
        <f t="shared" si="3"/>
        <v>22</v>
      </c>
      <c r="D53" s="23"/>
      <c r="E53" s="23"/>
    </row>
    <row r="54" spans="1:5" x14ac:dyDescent="0.2">
      <c r="A54" s="1">
        <v>49</v>
      </c>
      <c r="B54" s="12">
        <f t="shared" si="2"/>
        <v>18.571428571428573</v>
      </c>
      <c r="C54" s="13">
        <f t="shared" si="3"/>
        <v>22.653061224489797</v>
      </c>
      <c r="D54" s="23"/>
      <c r="E54" s="23"/>
    </row>
    <row r="55" spans="1:5" x14ac:dyDescent="0.2">
      <c r="A55" s="1">
        <v>48</v>
      </c>
      <c r="B55" s="12">
        <f t="shared" si="2"/>
        <v>19.166666666666668</v>
      </c>
      <c r="C55" s="13">
        <f t="shared" si="3"/>
        <v>23.333333333333336</v>
      </c>
      <c r="D55" s="23"/>
      <c r="E55" s="23"/>
    </row>
    <row r="56" spans="1:5" x14ac:dyDescent="0.2">
      <c r="A56" s="1">
        <v>47</v>
      </c>
      <c r="B56" s="12">
        <f t="shared" si="2"/>
        <v>19.787234042553191</v>
      </c>
      <c r="C56" s="13">
        <f t="shared" si="3"/>
        <v>24.042553191489361</v>
      </c>
      <c r="D56" s="23"/>
      <c r="E56" s="23"/>
    </row>
    <row r="57" spans="1:5" x14ac:dyDescent="0.2">
      <c r="A57" s="1">
        <v>46</v>
      </c>
      <c r="B57" s="12">
        <f t="shared" si="2"/>
        <v>20.434782608695652</v>
      </c>
      <c r="C57" s="13">
        <f t="shared" si="3"/>
        <v>24.782608695652172</v>
      </c>
      <c r="D57" s="23"/>
      <c r="E57" s="23"/>
    </row>
    <row r="58" spans="1:5" x14ac:dyDescent="0.2">
      <c r="A58" s="1">
        <v>45</v>
      </c>
      <c r="B58" s="12">
        <f t="shared" si="2"/>
        <v>21.111111111111111</v>
      </c>
      <c r="C58" s="13">
        <f t="shared" si="3"/>
        <v>25.555555555555557</v>
      </c>
      <c r="D58" s="23"/>
      <c r="E58" s="23"/>
    </row>
    <row r="59" spans="1:5" x14ac:dyDescent="0.2">
      <c r="A59" s="1">
        <v>44</v>
      </c>
      <c r="B59" s="12">
        <f t="shared" si="2"/>
        <v>21.818181818181817</v>
      </c>
      <c r="C59" s="13">
        <f t="shared" si="3"/>
        <v>26.363636363636367</v>
      </c>
      <c r="D59" s="23"/>
      <c r="E59" s="23"/>
    </row>
    <row r="60" spans="1:5" x14ac:dyDescent="0.2">
      <c r="A60" s="1">
        <v>43</v>
      </c>
      <c r="B60" s="12">
        <f t="shared" si="2"/>
        <v>22.558139534883722</v>
      </c>
      <c r="C60" s="13">
        <f t="shared" si="3"/>
        <v>27.209302325581397</v>
      </c>
      <c r="D60" s="23"/>
      <c r="E60" s="23"/>
    </row>
    <row r="61" spans="1:5" x14ac:dyDescent="0.2">
      <c r="A61" s="1">
        <v>42</v>
      </c>
      <c r="B61" s="12">
        <f t="shared" si="2"/>
        <v>23.333333333333336</v>
      </c>
      <c r="C61" s="13">
        <f t="shared" si="3"/>
        <v>28.095238095238095</v>
      </c>
      <c r="D61" s="23"/>
      <c r="E61" s="23"/>
    </row>
    <row r="62" spans="1:5" x14ac:dyDescent="0.2">
      <c r="A62" s="1">
        <v>41</v>
      </c>
      <c r="B62" s="12">
        <f t="shared" si="2"/>
        <v>24.146341463414636</v>
      </c>
      <c r="C62" s="13">
        <f t="shared" si="3"/>
        <v>29.024390243902438</v>
      </c>
      <c r="D62" s="23"/>
      <c r="E62" s="23"/>
    </row>
    <row r="63" spans="1:5" x14ac:dyDescent="0.2">
      <c r="A63" s="1">
        <v>40</v>
      </c>
      <c r="B63" s="12">
        <f t="shared" si="2"/>
        <v>25</v>
      </c>
      <c r="C63" s="13">
        <f t="shared" si="3"/>
        <v>30</v>
      </c>
      <c r="D63" s="23"/>
      <c r="E63" s="23"/>
    </row>
    <row r="64" spans="1:5" x14ac:dyDescent="0.2">
      <c r="A64" s="1">
        <v>39</v>
      </c>
      <c r="B64" s="12">
        <f t="shared" si="2"/>
        <v>25.897435897435898</v>
      </c>
      <c r="C64" s="13">
        <f t="shared" si="3"/>
        <v>31.025641025641029</v>
      </c>
      <c r="D64" s="23"/>
      <c r="E64" s="23"/>
    </row>
    <row r="65" spans="1:5" x14ac:dyDescent="0.2">
      <c r="A65" s="1">
        <v>38</v>
      </c>
      <c r="B65" s="12">
        <f t="shared" si="2"/>
        <v>26.842105263157897</v>
      </c>
      <c r="C65" s="13">
        <f t="shared" si="3"/>
        <v>32.10526315789474</v>
      </c>
      <c r="D65" s="23"/>
      <c r="E65" s="23"/>
    </row>
    <row r="66" spans="1:5" x14ac:dyDescent="0.2">
      <c r="A66" s="1">
        <v>37</v>
      </c>
      <c r="B66" s="12">
        <f t="shared" si="2"/>
        <v>27.837837837837839</v>
      </c>
      <c r="C66" s="13">
        <f t="shared" si="3"/>
        <v>33.243243243243242</v>
      </c>
      <c r="D66" s="23"/>
      <c r="E66" s="23"/>
    </row>
    <row r="67" spans="1:5" x14ac:dyDescent="0.2">
      <c r="A67" s="1">
        <v>36</v>
      </c>
      <c r="B67" s="12">
        <f t="shared" ref="B67:B100" si="4">1400/A67-10</f>
        <v>28.888888888888886</v>
      </c>
      <c r="C67" s="13">
        <f t="shared" ref="C67:C82" si="5">1600/A67-10</f>
        <v>34.444444444444443</v>
      </c>
      <c r="D67" s="23"/>
      <c r="E67" s="23"/>
    </row>
    <row r="68" spans="1:5" x14ac:dyDescent="0.2">
      <c r="A68" s="1">
        <v>35</v>
      </c>
      <c r="B68" s="12">
        <f t="shared" si="4"/>
        <v>30</v>
      </c>
      <c r="C68" s="13">
        <f t="shared" si="5"/>
        <v>35.714285714285715</v>
      </c>
      <c r="D68" s="23"/>
      <c r="E68" s="23"/>
    </row>
    <row r="69" spans="1:5" x14ac:dyDescent="0.2">
      <c r="A69" s="1">
        <v>34</v>
      </c>
      <c r="B69" s="12">
        <f t="shared" si="4"/>
        <v>31.176470588235297</v>
      </c>
      <c r="C69" s="13">
        <f t="shared" si="5"/>
        <v>37.058823529411768</v>
      </c>
      <c r="D69" s="23"/>
      <c r="E69" s="23"/>
    </row>
    <row r="70" spans="1:5" x14ac:dyDescent="0.2">
      <c r="A70" s="1">
        <v>33</v>
      </c>
      <c r="B70" s="12">
        <f t="shared" si="4"/>
        <v>32.424242424242422</v>
      </c>
      <c r="C70" s="13">
        <f t="shared" si="5"/>
        <v>38.484848484848484</v>
      </c>
      <c r="D70" s="23"/>
      <c r="E70" s="23"/>
    </row>
    <row r="71" spans="1:5" x14ac:dyDescent="0.2">
      <c r="A71" s="1">
        <v>32</v>
      </c>
      <c r="B71" s="12">
        <f t="shared" si="4"/>
        <v>33.75</v>
      </c>
      <c r="C71" s="13">
        <f t="shared" si="5"/>
        <v>40</v>
      </c>
      <c r="D71" s="23"/>
      <c r="E71" s="23"/>
    </row>
    <row r="72" spans="1:5" x14ac:dyDescent="0.2">
      <c r="A72" s="1">
        <v>31</v>
      </c>
      <c r="B72" s="12">
        <f t="shared" si="4"/>
        <v>35.161290322580648</v>
      </c>
      <c r="C72" s="13">
        <f t="shared" si="5"/>
        <v>41.612903225806448</v>
      </c>
      <c r="D72" s="23"/>
      <c r="E72" s="23"/>
    </row>
    <row r="73" spans="1:5" x14ac:dyDescent="0.2">
      <c r="A73" s="1">
        <v>30</v>
      </c>
      <c r="B73" s="12">
        <f t="shared" si="4"/>
        <v>36.666666666666664</v>
      </c>
      <c r="C73" s="13">
        <f t="shared" si="5"/>
        <v>43.333333333333336</v>
      </c>
      <c r="D73" s="23"/>
      <c r="E73" s="23"/>
    </row>
    <row r="74" spans="1:5" x14ac:dyDescent="0.2">
      <c r="A74" s="1">
        <v>29</v>
      </c>
      <c r="B74" s="12">
        <f t="shared" si="4"/>
        <v>38.275862068965516</v>
      </c>
      <c r="C74" s="13">
        <f t="shared" si="5"/>
        <v>45.172413793103445</v>
      </c>
      <c r="D74" s="23"/>
      <c r="E74" s="23"/>
    </row>
    <row r="75" spans="1:5" x14ac:dyDescent="0.2">
      <c r="A75" s="1">
        <v>28</v>
      </c>
      <c r="B75" s="12">
        <f t="shared" si="4"/>
        <v>40</v>
      </c>
      <c r="C75" s="13">
        <f t="shared" si="5"/>
        <v>47.142857142857146</v>
      </c>
      <c r="D75" s="23"/>
      <c r="E75" s="23"/>
    </row>
    <row r="76" spans="1:5" x14ac:dyDescent="0.2">
      <c r="A76" s="1">
        <v>27</v>
      </c>
      <c r="B76" s="12">
        <f t="shared" si="4"/>
        <v>41.851851851851855</v>
      </c>
      <c r="C76" s="13">
        <f t="shared" si="5"/>
        <v>49.25925925925926</v>
      </c>
      <c r="D76" s="23"/>
      <c r="E76" s="23"/>
    </row>
    <row r="77" spans="1:5" x14ac:dyDescent="0.2">
      <c r="A77" s="1">
        <v>26</v>
      </c>
      <c r="B77" s="12">
        <f t="shared" si="4"/>
        <v>43.846153846153847</v>
      </c>
      <c r="C77" s="13">
        <f t="shared" si="5"/>
        <v>51.53846153846154</v>
      </c>
      <c r="D77" s="23"/>
      <c r="E77" s="23"/>
    </row>
    <row r="78" spans="1:5" x14ac:dyDescent="0.2">
      <c r="A78" s="1">
        <v>25</v>
      </c>
      <c r="B78" s="12">
        <f t="shared" si="4"/>
        <v>46</v>
      </c>
      <c r="C78" s="13">
        <f t="shared" si="5"/>
        <v>54</v>
      </c>
      <c r="D78" s="23"/>
      <c r="E78" s="23"/>
    </row>
    <row r="79" spans="1:5" x14ac:dyDescent="0.2">
      <c r="A79" s="1">
        <v>24</v>
      </c>
      <c r="B79" s="12">
        <f t="shared" si="4"/>
        <v>48.333333333333336</v>
      </c>
      <c r="C79" s="13">
        <f t="shared" si="5"/>
        <v>56.666666666666671</v>
      </c>
      <c r="D79" s="23"/>
      <c r="E79" s="23"/>
    </row>
    <row r="80" spans="1:5" x14ac:dyDescent="0.2">
      <c r="A80" s="1">
        <v>23</v>
      </c>
      <c r="B80" s="12">
        <f t="shared" si="4"/>
        <v>50.869565217391305</v>
      </c>
      <c r="C80" s="13">
        <f t="shared" si="5"/>
        <v>59.565217391304344</v>
      </c>
      <c r="D80" s="23"/>
      <c r="E80" s="23"/>
    </row>
    <row r="81" spans="1:5" x14ac:dyDescent="0.2">
      <c r="A81" s="1">
        <v>22</v>
      </c>
      <c r="B81" s="12">
        <f t="shared" si="4"/>
        <v>53.636363636363633</v>
      </c>
      <c r="C81" s="13">
        <f t="shared" si="5"/>
        <v>62.727272727272734</v>
      </c>
      <c r="D81" s="23"/>
      <c r="E81" s="23"/>
    </row>
    <row r="82" spans="1:5" x14ac:dyDescent="0.2">
      <c r="A82" s="1">
        <v>21</v>
      </c>
      <c r="B82" s="12">
        <f t="shared" si="4"/>
        <v>56.666666666666671</v>
      </c>
      <c r="C82" s="13">
        <f t="shared" si="5"/>
        <v>66.19047619047619</v>
      </c>
      <c r="D82" s="23"/>
      <c r="E82" s="23"/>
    </row>
    <row r="83" spans="1:5" x14ac:dyDescent="0.2">
      <c r="A83" s="1">
        <v>20</v>
      </c>
      <c r="B83" s="12">
        <f t="shared" si="4"/>
        <v>60</v>
      </c>
      <c r="C83" s="13">
        <f t="shared" ref="C83:C100" si="6">1600/A83-10</f>
        <v>70</v>
      </c>
    </row>
    <row r="84" spans="1:5" x14ac:dyDescent="0.2">
      <c r="A84" s="1">
        <v>19</v>
      </c>
      <c r="B84" s="12">
        <f t="shared" si="4"/>
        <v>63.684210526315795</v>
      </c>
      <c r="C84" s="13">
        <f t="shared" si="6"/>
        <v>74.21052631578948</v>
      </c>
    </row>
    <row r="85" spans="1:5" x14ac:dyDescent="0.2">
      <c r="A85" s="1">
        <v>18</v>
      </c>
      <c r="B85" s="12">
        <f t="shared" si="4"/>
        <v>67.777777777777771</v>
      </c>
      <c r="C85" s="13">
        <f t="shared" si="6"/>
        <v>78.888888888888886</v>
      </c>
    </row>
    <row r="86" spans="1:5" x14ac:dyDescent="0.2">
      <c r="A86" s="1">
        <v>17</v>
      </c>
      <c r="B86" s="12">
        <f t="shared" si="4"/>
        <v>72.352941176470594</v>
      </c>
      <c r="C86" s="13">
        <f t="shared" si="6"/>
        <v>84.117647058823536</v>
      </c>
    </row>
    <row r="87" spans="1:5" x14ac:dyDescent="0.2">
      <c r="A87" s="1">
        <v>16</v>
      </c>
      <c r="B87" s="12">
        <f t="shared" si="4"/>
        <v>77.5</v>
      </c>
      <c r="C87" s="13">
        <f t="shared" si="6"/>
        <v>90</v>
      </c>
    </row>
    <row r="88" spans="1:5" x14ac:dyDescent="0.2">
      <c r="A88" s="1">
        <v>15</v>
      </c>
      <c r="B88" s="12">
        <f t="shared" si="4"/>
        <v>83.333333333333329</v>
      </c>
      <c r="C88" s="13">
        <f t="shared" si="6"/>
        <v>96.666666666666671</v>
      </c>
    </row>
    <row r="89" spans="1:5" x14ac:dyDescent="0.2">
      <c r="A89" s="1">
        <v>14</v>
      </c>
      <c r="B89" s="12">
        <f t="shared" si="4"/>
        <v>90</v>
      </c>
      <c r="C89" s="13">
        <f t="shared" si="6"/>
        <v>104.28571428571429</v>
      </c>
    </row>
    <row r="90" spans="1:5" x14ac:dyDescent="0.2">
      <c r="A90" s="1">
        <v>13</v>
      </c>
      <c r="B90" s="12">
        <f t="shared" si="4"/>
        <v>97.692307692307693</v>
      </c>
      <c r="C90" s="13">
        <f t="shared" si="6"/>
        <v>113.07692307692308</v>
      </c>
    </row>
    <row r="91" spans="1:5" x14ac:dyDescent="0.2">
      <c r="A91" s="1">
        <v>12</v>
      </c>
      <c r="B91" s="12">
        <f t="shared" si="4"/>
        <v>106.66666666666667</v>
      </c>
      <c r="C91" s="13">
        <f t="shared" si="6"/>
        <v>123.33333333333334</v>
      </c>
    </row>
    <row r="92" spans="1:5" x14ac:dyDescent="0.2">
      <c r="A92" s="1">
        <v>11</v>
      </c>
      <c r="B92" s="12">
        <f t="shared" si="4"/>
        <v>117.27272727272727</v>
      </c>
      <c r="C92" s="13">
        <f t="shared" si="6"/>
        <v>135.45454545454547</v>
      </c>
    </row>
    <row r="93" spans="1:5" x14ac:dyDescent="0.2">
      <c r="A93" s="1">
        <v>10</v>
      </c>
      <c r="B93" s="12">
        <f t="shared" si="4"/>
        <v>130</v>
      </c>
      <c r="C93" s="13">
        <f t="shared" si="6"/>
        <v>150</v>
      </c>
    </row>
    <row r="94" spans="1:5" x14ac:dyDescent="0.2">
      <c r="A94" s="1">
        <v>9</v>
      </c>
      <c r="B94" s="12">
        <f t="shared" si="4"/>
        <v>145.55555555555554</v>
      </c>
      <c r="C94" s="13">
        <f t="shared" si="6"/>
        <v>167.77777777777777</v>
      </c>
    </row>
    <row r="95" spans="1:5" x14ac:dyDescent="0.2">
      <c r="A95" s="1">
        <v>8</v>
      </c>
      <c r="B95" s="12">
        <f t="shared" si="4"/>
        <v>165</v>
      </c>
      <c r="C95" s="13">
        <f t="shared" si="6"/>
        <v>190</v>
      </c>
    </row>
    <row r="96" spans="1:5" x14ac:dyDescent="0.2">
      <c r="A96" s="1">
        <v>7</v>
      </c>
      <c r="B96" s="12">
        <f t="shared" si="4"/>
        <v>190</v>
      </c>
      <c r="C96" s="13">
        <f t="shared" si="6"/>
        <v>218.57142857142858</v>
      </c>
    </row>
    <row r="97" spans="1:3" x14ac:dyDescent="0.2">
      <c r="A97" s="1">
        <v>6</v>
      </c>
      <c r="B97" s="12">
        <f t="shared" si="4"/>
        <v>223.33333333333334</v>
      </c>
      <c r="C97" s="13">
        <f t="shared" si="6"/>
        <v>256.66666666666669</v>
      </c>
    </row>
    <row r="98" spans="1:3" x14ac:dyDescent="0.2">
      <c r="A98" s="1">
        <v>5</v>
      </c>
      <c r="B98" s="12">
        <f t="shared" si="4"/>
        <v>270</v>
      </c>
      <c r="C98" s="13">
        <f t="shared" si="6"/>
        <v>310</v>
      </c>
    </row>
    <row r="99" spans="1:3" x14ac:dyDescent="0.2">
      <c r="A99" s="1">
        <v>4</v>
      </c>
      <c r="B99" s="12">
        <f t="shared" si="4"/>
        <v>340</v>
      </c>
      <c r="C99" s="13">
        <f t="shared" si="6"/>
        <v>390</v>
      </c>
    </row>
    <row r="100" spans="1:3" ht="13.5" thickBot="1" x14ac:dyDescent="0.25">
      <c r="A100" s="2">
        <v>3</v>
      </c>
      <c r="B100" s="14">
        <f t="shared" si="4"/>
        <v>456.66666666666669</v>
      </c>
      <c r="C100" s="15">
        <f t="shared" si="6"/>
        <v>523.33333333333337</v>
      </c>
    </row>
  </sheetData>
  <mergeCells count="7">
    <mergeCell ref="J42:K42"/>
    <mergeCell ref="J1:K1"/>
    <mergeCell ref="F20:H20"/>
    <mergeCell ref="A1:C1"/>
    <mergeCell ref="F1:G1"/>
    <mergeCell ref="F16:H16"/>
    <mergeCell ref="F24:H24"/>
  </mergeCells>
  <phoneticPr fontId="2" type="noConversion"/>
  <conditionalFormatting sqref="F22 F18">
    <cfRule type="cellIs" dxfId="1" priority="1" stopIfTrue="1" operator="greaterThan">
      <formula>1.6</formula>
    </cfRule>
  </conditionalFormatting>
  <conditionalFormatting sqref="H22 H18">
    <cfRule type="cellIs" dxfId="0" priority="2" stopIfTrue="1" operator="greaterThan">
      <formula>100</formula>
    </cfRule>
  </conditionalFormatting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Instructions</vt:lpstr>
      <vt:lpstr>Gas Planner</vt:lpstr>
      <vt:lpstr>Tables</vt:lpstr>
      <vt:lpstr>Tabelle1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electronic DSAT TecRec Dive Planning Slate</dc:title>
  <dc:subject>TecDeep and TecTrimix</dc:subject>
  <dc:creator/>
  <cp:lastModifiedBy/>
  <cp:lastPrinted>1900-12-31T23:00:00Z</cp:lastPrinted>
  <dcterms:created xsi:type="dcterms:W3CDTF">1900-12-31T23:00:00Z</dcterms:created>
  <dcterms:modified xsi:type="dcterms:W3CDTF">2011-03-29T16:43:42Z</dcterms:modified>
</cp:coreProperties>
</file>